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25600" windowHeight="17480" tabRatio="500"/>
  </bookViews>
  <sheets>
    <sheet name="Tension de ligne" sheetId="1" r:id="rId1"/>
  </sheets>
  <definedNames>
    <definedName name="_xlnm.Print_Area" localSheetId="0">'Tension de ligne'!$A$3:$M$32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X41" i="1"/>
  <c r="V41" i="1"/>
  <c r="T41" i="1"/>
  <c r="R41" i="1"/>
  <c r="P41" i="1"/>
  <c r="X35" i="1"/>
  <c r="X36" i="1"/>
  <c r="X37" i="1"/>
  <c r="X38" i="1"/>
  <c r="X39" i="1"/>
  <c r="X40" i="1"/>
  <c r="W40" i="1"/>
  <c r="V35" i="1"/>
  <c r="V36" i="1"/>
  <c r="V37" i="1"/>
  <c r="V38" i="1"/>
  <c r="V39" i="1"/>
  <c r="V40" i="1"/>
  <c r="U40" i="1"/>
  <c r="T35" i="1"/>
  <c r="T36" i="1"/>
  <c r="T37" i="1"/>
  <c r="T38" i="1"/>
  <c r="T39" i="1"/>
  <c r="T40" i="1"/>
  <c r="S40" i="1"/>
  <c r="R35" i="1"/>
  <c r="R36" i="1"/>
  <c r="R37" i="1"/>
  <c r="R38" i="1"/>
  <c r="R39" i="1"/>
  <c r="R40" i="1"/>
  <c r="Q40" i="1"/>
  <c r="P35" i="1"/>
  <c r="P36" i="1"/>
  <c r="P37" i="1"/>
  <c r="P38" i="1"/>
  <c r="P39" i="1"/>
  <c r="P40" i="1"/>
  <c r="O40" i="1"/>
  <c r="W39" i="1"/>
  <c r="U39" i="1"/>
  <c r="S39" i="1"/>
  <c r="Q39" i="1"/>
  <c r="O39" i="1"/>
  <c r="W38" i="1"/>
  <c r="U38" i="1"/>
  <c r="S38" i="1"/>
  <c r="Q38" i="1"/>
  <c r="O38" i="1"/>
  <c r="W37" i="1"/>
  <c r="U37" i="1"/>
  <c r="S37" i="1"/>
  <c r="Q37" i="1"/>
  <c r="O37" i="1"/>
  <c r="W36" i="1"/>
  <c r="U36" i="1"/>
  <c r="S36" i="1"/>
  <c r="Q36" i="1"/>
  <c r="O36" i="1"/>
  <c r="X29" i="1"/>
  <c r="X30" i="1"/>
  <c r="X31" i="1"/>
  <c r="X32" i="1"/>
  <c r="X33" i="1"/>
  <c r="X34" i="1"/>
  <c r="W34" i="1"/>
  <c r="V29" i="1"/>
  <c r="V30" i="1"/>
  <c r="V31" i="1"/>
  <c r="V32" i="1"/>
  <c r="V33" i="1"/>
  <c r="V34" i="1"/>
  <c r="U34" i="1"/>
  <c r="T29" i="1"/>
  <c r="T30" i="1"/>
  <c r="T31" i="1"/>
  <c r="T32" i="1"/>
  <c r="T33" i="1"/>
  <c r="T34" i="1"/>
  <c r="S34" i="1"/>
  <c r="R29" i="1"/>
  <c r="R30" i="1"/>
  <c r="R31" i="1"/>
  <c r="R32" i="1"/>
  <c r="R33" i="1"/>
  <c r="R34" i="1"/>
  <c r="Q34" i="1"/>
  <c r="P29" i="1"/>
  <c r="P30" i="1"/>
  <c r="P31" i="1"/>
  <c r="P32" i="1"/>
  <c r="P33" i="1"/>
  <c r="P34" i="1"/>
  <c r="O34" i="1"/>
  <c r="W33" i="1"/>
  <c r="U33" i="1"/>
  <c r="S33" i="1"/>
  <c r="Q33" i="1"/>
  <c r="O33" i="1"/>
  <c r="W32" i="1"/>
  <c r="U32" i="1"/>
  <c r="S32" i="1"/>
  <c r="Q32" i="1"/>
  <c r="O32" i="1"/>
  <c r="M14" i="1"/>
  <c r="M15" i="1"/>
  <c r="M16" i="1"/>
  <c r="M17" i="1"/>
  <c r="M18" i="1"/>
  <c r="M19" i="1"/>
  <c r="M20" i="1"/>
  <c r="M21" i="1"/>
  <c r="M22" i="1"/>
  <c r="M23" i="1"/>
  <c r="M27" i="1"/>
  <c r="M28" i="1"/>
  <c r="M29" i="1"/>
  <c r="M30" i="1"/>
  <c r="M31" i="1"/>
  <c r="M32" i="1"/>
  <c r="W31" i="1"/>
  <c r="U31" i="1"/>
  <c r="S31" i="1"/>
  <c r="Q31" i="1"/>
  <c r="O31" i="1"/>
  <c r="L31" i="1"/>
  <c r="K31" i="1"/>
  <c r="D31" i="1"/>
  <c r="W30" i="1"/>
  <c r="U30" i="1"/>
  <c r="S30" i="1"/>
  <c r="Q30" i="1"/>
  <c r="O30" i="1"/>
  <c r="L30" i="1"/>
  <c r="K30" i="1"/>
  <c r="D30" i="1"/>
  <c r="L29" i="1"/>
  <c r="K29" i="1"/>
  <c r="D29" i="1"/>
  <c r="X23" i="1"/>
  <c r="X24" i="1"/>
  <c r="X25" i="1"/>
  <c r="X26" i="1"/>
  <c r="X27" i="1"/>
  <c r="X28" i="1"/>
  <c r="W28" i="1"/>
  <c r="V23" i="1"/>
  <c r="V24" i="1"/>
  <c r="V25" i="1"/>
  <c r="V26" i="1"/>
  <c r="V27" i="1"/>
  <c r="V28" i="1"/>
  <c r="U28" i="1"/>
  <c r="T23" i="1"/>
  <c r="T24" i="1"/>
  <c r="T25" i="1"/>
  <c r="T26" i="1"/>
  <c r="T27" i="1"/>
  <c r="T28" i="1"/>
  <c r="S28" i="1"/>
  <c r="R23" i="1"/>
  <c r="R24" i="1"/>
  <c r="R25" i="1"/>
  <c r="R26" i="1"/>
  <c r="R27" i="1"/>
  <c r="R28" i="1"/>
  <c r="Q28" i="1"/>
  <c r="P23" i="1"/>
  <c r="P24" i="1"/>
  <c r="P25" i="1"/>
  <c r="P26" i="1"/>
  <c r="P27" i="1"/>
  <c r="P28" i="1"/>
  <c r="O28" i="1"/>
  <c r="L28" i="1"/>
  <c r="D28" i="1"/>
  <c r="K28" i="1"/>
  <c r="W27" i="1"/>
  <c r="U27" i="1"/>
  <c r="S27" i="1"/>
  <c r="Q27" i="1"/>
  <c r="O27" i="1"/>
  <c r="L27" i="1"/>
  <c r="D27" i="1"/>
  <c r="K27" i="1"/>
  <c r="W26" i="1"/>
  <c r="U26" i="1"/>
  <c r="S26" i="1"/>
  <c r="Q26" i="1"/>
  <c r="O26" i="1"/>
  <c r="L26" i="1"/>
  <c r="K26" i="1"/>
  <c r="W25" i="1"/>
  <c r="U25" i="1"/>
  <c r="S25" i="1"/>
  <c r="Q25" i="1"/>
  <c r="O25" i="1"/>
  <c r="L25" i="1"/>
  <c r="K25" i="1"/>
  <c r="W24" i="1"/>
  <c r="U24" i="1"/>
  <c r="S24" i="1"/>
  <c r="Q24" i="1"/>
  <c r="O24" i="1"/>
  <c r="L24" i="1"/>
  <c r="K24" i="1"/>
  <c r="L23" i="1"/>
  <c r="K23" i="1"/>
  <c r="C23" i="1"/>
  <c r="D23" i="1"/>
  <c r="X20" i="1"/>
  <c r="X21" i="1"/>
  <c r="X22" i="1"/>
  <c r="W22" i="1"/>
  <c r="V20" i="1"/>
  <c r="V21" i="1"/>
  <c r="V22" i="1"/>
  <c r="U22" i="1"/>
  <c r="T20" i="1"/>
  <c r="T21" i="1"/>
  <c r="T22" i="1"/>
  <c r="S22" i="1"/>
  <c r="R20" i="1"/>
  <c r="R21" i="1"/>
  <c r="R22" i="1"/>
  <c r="Q22" i="1"/>
  <c r="P20" i="1"/>
  <c r="P21" i="1"/>
  <c r="P22" i="1"/>
  <c r="O22" i="1"/>
  <c r="L22" i="1"/>
  <c r="K22" i="1"/>
  <c r="C22" i="1"/>
  <c r="D22" i="1"/>
  <c r="W21" i="1"/>
  <c r="U21" i="1"/>
  <c r="S21" i="1"/>
  <c r="Q21" i="1"/>
  <c r="O21" i="1"/>
  <c r="L21" i="1"/>
  <c r="K21" i="1"/>
  <c r="C21" i="1"/>
  <c r="D21" i="1"/>
  <c r="L20" i="1"/>
  <c r="K20" i="1"/>
  <c r="C20" i="1"/>
  <c r="D20" i="1"/>
  <c r="X17" i="1"/>
  <c r="X18" i="1"/>
  <c r="X19" i="1"/>
  <c r="W19" i="1"/>
  <c r="V17" i="1"/>
  <c r="V18" i="1"/>
  <c r="V19" i="1"/>
  <c r="U19" i="1"/>
  <c r="T17" i="1"/>
  <c r="T18" i="1"/>
  <c r="T19" i="1"/>
  <c r="S19" i="1"/>
  <c r="R17" i="1"/>
  <c r="R18" i="1"/>
  <c r="R19" i="1"/>
  <c r="Q19" i="1"/>
  <c r="P17" i="1"/>
  <c r="P18" i="1"/>
  <c r="P19" i="1"/>
  <c r="O19" i="1"/>
  <c r="L19" i="1"/>
  <c r="K19" i="1"/>
  <c r="C19" i="1"/>
  <c r="D19" i="1"/>
  <c r="W18" i="1"/>
  <c r="U18" i="1"/>
  <c r="S18" i="1"/>
  <c r="Q18" i="1"/>
  <c r="O18" i="1"/>
  <c r="L18" i="1"/>
  <c r="K18" i="1"/>
  <c r="C18" i="1"/>
  <c r="D18" i="1"/>
  <c r="L17" i="1"/>
  <c r="C17" i="1"/>
  <c r="D17" i="1"/>
  <c r="K17" i="1"/>
  <c r="X14" i="1"/>
  <c r="X15" i="1"/>
  <c r="X16" i="1"/>
  <c r="W16" i="1"/>
  <c r="V14" i="1"/>
  <c r="V15" i="1"/>
  <c r="V16" i="1"/>
  <c r="U16" i="1"/>
  <c r="T14" i="1"/>
  <c r="T15" i="1"/>
  <c r="T16" i="1"/>
  <c r="S16" i="1"/>
  <c r="R14" i="1"/>
  <c r="R15" i="1"/>
  <c r="R16" i="1"/>
  <c r="Q16" i="1"/>
  <c r="P14" i="1"/>
  <c r="P15" i="1"/>
  <c r="P16" i="1"/>
  <c r="O16" i="1"/>
  <c r="L16" i="1"/>
  <c r="K16" i="1"/>
  <c r="C16" i="1"/>
  <c r="D16" i="1"/>
  <c r="W15" i="1"/>
  <c r="U15" i="1"/>
  <c r="S15" i="1"/>
  <c r="Q15" i="1"/>
  <c r="O15" i="1"/>
  <c r="L15" i="1"/>
  <c r="K15" i="1"/>
  <c r="C15" i="1"/>
  <c r="D15" i="1"/>
  <c r="L14" i="1"/>
  <c r="K14" i="1"/>
  <c r="C14" i="1"/>
  <c r="D14" i="1"/>
  <c r="X11" i="1"/>
  <c r="X12" i="1"/>
  <c r="X13" i="1"/>
  <c r="W13" i="1"/>
  <c r="V11" i="1"/>
  <c r="V12" i="1"/>
  <c r="V13" i="1"/>
  <c r="U13" i="1"/>
  <c r="T11" i="1"/>
  <c r="T12" i="1"/>
  <c r="T13" i="1"/>
  <c r="S13" i="1"/>
  <c r="R11" i="1"/>
  <c r="R12" i="1"/>
  <c r="R13" i="1"/>
  <c r="Q13" i="1"/>
  <c r="P11" i="1"/>
  <c r="P12" i="1"/>
  <c r="P13" i="1"/>
  <c r="O13" i="1"/>
  <c r="W12" i="1"/>
  <c r="U12" i="1"/>
  <c r="S12" i="1"/>
  <c r="Q12" i="1"/>
  <c r="O12" i="1"/>
  <c r="A11" i="1"/>
  <c r="X8" i="1"/>
  <c r="X9" i="1"/>
  <c r="X10" i="1"/>
  <c r="W10" i="1"/>
  <c r="V8" i="1"/>
  <c r="V9" i="1"/>
  <c r="V10" i="1"/>
  <c r="U10" i="1"/>
  <c r="T8" i="1"/>
  <c r="T9" i="1"/>
  <c r="T10" i="1"/>
  <c r="S10" i="1"/>
  <c r="R8" i="1"/>
  <c r="R9" i="1"/>
  <c r="R10" i="1"/>
  <c r="Q10" i="1"/>
  <c r="P8" i="1"/>
  <c r="P9" i="1"/>
  <c r="P10" i="1"/>
  <c r="O10" i="1"/>
  <c r="W9" i="1"/>
  <c r="U9" i="1"/>
  <c r="S9" i="1"/>
  <c r="Q9" i="1"/>
  <c r="O9" i="1"/>
  <c r="A9" i="1"/>
  <c r="A7" i="1"/>
  <c r="W6" i="1"/>
  <c r="U6" i="1"/>
  <c r="S6" i="1"/>
  <c r="Q6" i="1"/>
  <c r="O6" i="1"/>
  <c r="L3" i="1"/>
  <c r="A3" i="1"/>
</calcChain>
</file>

<file path=xl/sharedStrings.xml><?xml version="1.0" encoding="utf-8"?>
<sst xmlns="http://schemas.openxmlformats.org/spreadsheetml/2006/main" count="46" uniqueCount="39">
  <si>
    <t>Entrée des variables en encadré double traits</t>
  </si>
  <si>
    <t>Longueur/choix section polyamide</t>
  </si>
  <si>
    <t>Longueur et choix de la chaîne</t>
  </si>
  <si>
    <t>Poids apparents en eau e mer</t>
  </si>
  <si>
    <t>BEAUFORT</t>
  </si>
  <si>
    <t>p = poids linéaire de la ligne en kg/m en prenant en compte le poids apparent Pa</t>
  </si>
  <si>
    <t>Donc P est le poids apparent de la ligne (la ligne est immergée)</t>
  </si>
  <si>
    <t>Noeuds</t>
  </si>
  <si>
    <t>La ligne est un composé de Polyamide trois torons de densité négative de poids linéaire lié à sa section et d'une portion en chaîne galva de densité ~ 7,8 de poids linéaire là aussi variable en fonction de son diamètre</t>
  </si>
  <si>
    <t>km/h</t>
  </si>
  <si>
    <t>L bateau (m)</t>
  </si>
  <si>
    <t>Effort de traction en daN</t>
  </si>
  <si>
    <t>F = flèche de la ligne en tension en m:</t>
  </si>
  <si>
    <t>Rentrer la densité de l'eau:</t>
  </si>
  <si>
    <t>Ajout de lest en milieu de ligne:</t>
  </si>
  <si>
    <t>TABLEAU DES DENSITÉS DU POLYAMIDE 3 TORONS</t>
  </si>
  <si>
    <t>Diamètre (mm)</t>
  </si>
  <si>
    <t>Poids (g/m)</t>
  </si>
  <si>
    <t>Densité</t>
  </si>
  <si>
    <t>Pa (kg/m)</t>
  </si>
  <si>
    <t>RR (daN)</t>
  </si>
  <si>
    <t>Réf.. AD</t>
  </si>
  <si>
    <t>Prix (m)</t>
  </si>
  <si>
    <t>C10106</t>
  </si>
  <si>
    <t>C10108</t>
  </si>
  <si>
    <t>C10110</t>
  </si>
  <si>
    <t>C10112</t>
  </si>
  <si>
    <t>C10114</t>
  </si>
  <si>
    <t>C10116</t>
  </si>
  <si>
    <t>C10118</t>
  </si>
  <si>
    <t>C10120</t>
  </si>
  <si>
    <t>C10122</t>
  </si>
  <si>
    <t>C10124</t>
  </si>
  <si>
    <t>TABLEAU CHAÎNE GALVA</t>
  </si>
  <si>
    <t>M22006</t>
  </si>
  <si>
    <t>M22008</t>
  </si>
  <si>
    <t>M22010</t>
  </si>
  <si>
    <t>M22012</t>
  </si>
  <si>
    <t>M22014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</si>
</sst>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 Narrow"/>
    </font>
    <font>
      <sz val="8"/>
      <color theme="1"/>
      <name val="Arial"/>
      <family val="2"/>
    </font>
    <font>
      <b/>
      <sz val="16"/>
      <color theme="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Lucida Handwriting"/>
      <family val="4"/>
    </font>
    <font>
      <sz val="11"/>
      <color theme="1"/>
      <name val="Arial"/>
      <family val="2"/>
    </font>
    <font>
      <b/>
      <sz val="14"/>
      <color rgb="FFB2B2B2"/>
      <name val="Lucida Handwriting"/>
      <family val="4"/>
    </font>
    <font>
      <b/>
      <sz val="11"/>
      <color theme="1"/>
      <name val="Arial"/>
      <family val="2"/>
    </font>
    <font>
      <b/>
      <sz val="11"/>
      <color rgb="FFB2B2B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sz val="9"/>
      <color rgb="FFB2B2B2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B2B2B2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BD1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</borders>
  <cellStyleXfs count="14">
    <xf numFmtId="0" fontId="0" fillId="0" borderId="0"/>
    <xf numFmtId="0" fontId="2" fillId="0" borderId="0"/>
    <xf numFmtId="0" fontId="7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2" fillId="0" borderId="0"/>
    <xf numFmtId="0" fontId="23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Alignment="1" applyProtection="1">
      <alignment vertical="center"/>
    </xf>
    <xf numFmtId="0" fontId="2" fillId="0" borderId="0" xfId="1" applyAlignment="1" applyProtection="1">
      <alignment horizontal="center" vertical="center"/>
    </xf>
    <xf numFmtId="0" fontId="2" fillId="0" borderId="0" xfId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2" fillId="3" borderId="4" xfId="1" applyFill="1" applyBorder="1" applyAlignment="1" applyProtection="1">
      <alignment horizontal="center" textRotation="90" wrapText="1"/>
    </xf>
    <xf numFmtId="0" fontId="2" fillId="4" borderId="4" xfId="1" applyFill="1" applyBorder="1" applyAlignment="1" applyProtection="1">
      <alignment horizontal="center" textRotation="90"/>
    </xf>
    <xf numFmtId="0" fontId="2" fillId="0" borderId="5" xfId="1" applyFont="1" applyBorder="1" applyAlignment="1" applyProtection="1">
      <alignment horizontal="center" textRotation="90"/>
    </xf>
    <xf numFmtId="0" fontId="2" fillId="0" borderId="6" xfId="1" applyFont="1" applyBorder="1" applyAlignment="1" applyProtection="1">
      <alignment horizontal="center" textRotation="90"/>
    </xf>
    <xf numFmtId="0" fontId="8" fillId="5" borderId="0" xfId="2" applyFont="1" applyFill="1" applyBorder="1" applyAlignment="1">
      <alignment horizontal="center" vertical="center"/>
    </xf>
    <xf numFmtId="0" fontId="7" fillId="0" borderId="0" xfId="2"/>
    <xf numFmtId="0" fontId="2" fillId="3" borderId="7" xfId="1" applyFill="1" applyBorder="1" applyAlignment="1" applyProtection="1">
      <alignment horizontal="center" textRotation="90" wrapText="1"/>
    </xf>
    <xf numFmtId="0" fontId="2" fillId="4" borderId="7" xfId="1" applyFill="1" applyBorder="1" applyAlignment="1" applyProtection="1">
      <alignment horizontal="center" textRotation="90"/>
    </xf>
    <xf numFmtId="0" fontId="9" fillId="5" borderId="0" xfId="2" applyFont="1" applyFill="1" applyBorder="1" applyAlignment="1">
      <alignment vertical="center"/>
    </xf>
    <xf numFmtId="0" fontId="8" fillId="5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8" fillId="5" borderId="9" xfId="2" applyFont="1" applyFill="1" applyBorder="1" applyAlignment="1">
      <alignment horizontal="center" vertical="center"/>
    </xf>
    <xf numFmtId="0" fontId="8" fillId="5" borderId="10" xfId="2" applyFont="1" applyFill="1" applyBorder="1" applyAlignment="1">
      <alignment horizontal="center" vertical="center"/>
    </xf>
    <xf numFmtId="0" fontId="11" fillId="6" borderId="9" xfId="2" applyFont="1" applyFill="1" applyBorder="1" applyAlignment="1">
      <alignment horizontal="right" vertical="center"/>
    </xf>
    <xf numFmtId="0" fontId="11" fillId="6" borderId="11" xfId="2" applyFont="1" applyFill="1" applyBorder="1" applyAlignment="1">
      <alignment horizontal="center" vertical="center" wrapText="1"/>
    </xf>
    <xf numFmtId="0" fontId="12" fillId="6" borderId="11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2" fillId="0" borderId="0" xfId="1" applyAlignment="1" applyProtection="1">
      <alignment horizontal="left" vertical="center" wrapText="1"/>
    </xf>
    <xf numFmtId="0" fontId="2" fillId="0" borderId="0" xfId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13" fillId="7" borderId="11" xfId="2" applyFont="1" applyFill="1" applyBorder="1" applyAlignment="1">
      <alignment horizontal="right" vertical="center" wrapText="1"/>
    </xf>
    <xf numFmtId="0" fontId="14" fillId="7" borderId="13" xfId="2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8" borderId="12" xfId="2" applyFont="1" applyFill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2" fillId="0" borderId="0" xfId="1" applyAlignment="1" applyProtection="1">
      <alignment horizontal="left" vertical="center"/>
    </xf>
    <xf numFmtId="0" fontId="6" fillId="0" borderId="18" xfId="1" applyFont="1" applyBorder="1" applyAlignment="1" applyProtection="1">
      <alignment horizontal="center" vertical="center"/>
      <protection locked="0"/>
    </xf>
    <xf numFmtId="0" fontId="15" fillId="8" borderId="12" xfId="2" applyFont="1" applyFill="1" applyBorder="1" applyAlignment="1">
      <alignment horizontal="center" vertical="center"/>
    </xf>
    <xf numFmtId="2" fontId="16" fillId="0" borderId="19" xfId="2" applyNumberFormat="1" applyFont="1" applyBorder="1" applyAlignment="1">
      <alignment horizontal="center" vertical="center"/>
    </xf>
    <xf numFmtId="2" fontId="17" fillId="0" borderId="9" xfId="2" applyNumberFormat="1" applyFont="1" applyBorder="1" applyAlignment="1">
      <alignment horizontal="center" vertical="center"/>
    </xf>
    <xf numFmtId="2" fontId="16" fillId="0" borderId="9" xfId="2" applyNumberFormat="1" applyFont="1" applyBorder="1" applyAlignment="1">
      <alignment horizontal="center" vertical="center"/>
    </xf>
    <xf numFmtId="2" fontId="16" fillId="0" borderId="20" xfId="2" applyNumberFormat="1" applyFont="1" applyBorder="1" applyAlignment="1">
      <alignment horizontal="center" vertical="center"/>
    </xf>
    <xf numFmtId="2" fontId="17" fillId="0" borderId="21" xfId="2" applyNumberFormat="1" applyFont="1" applyBorder="1" applyAlignment="1">
      <alignment horizontal="center" vertical="center"/>
    </xf>
    <xf numFmtId="0" fontId="18" fillId="0" borderId="0" xfId="1" applyFont="1" applyAlignment="1" applyProtection="1">
      <alignment vertical="center"/>
    </xf>
    <xf numFmtId="0" fontId="19" fillId="0" borderId="0" xfId="1" applyFont="1" applyAlignment="1" applyProtection="1">
      <alignment horizontal="right" vertical="center"/>
    </xf>
    <xf numFmtId="0" fontId="2" fillId="0" borderId="18" xfId="1" applyBorder="1" applyAlignment="1" applyProtection="1">
      <alignment vertical="center"/>
      <protection locked="0"/>
    </xf>
    <xf numFmtId="0" fontId="9" fillId="8" borderId="12" xfId="2" applyFont="1" applyFill="1" applyBorder="1" applyAlignment="1">
      <alignment horizontal="center" vertical="center"/>
    </xf>
    <xf numFmtId="2" fontId="16" fillId="0" borderId="22" xfId="2" applyNumberFormat="1" applyFont="1" applyBorder="1" applyAlignment="1">
      <alignment horizontal="center" vertical="center"/>
    </xf>
    <xf numFmtId="2" fontId="17" fillId="0" borderId="11" xfId="2" applyNumberFormat="1" applyFont="1" applyBorder="1" applyAlignment="1">
      <alignment horizontal="center" vertical="center"/>
    </xf>
    <xf numFmtId="2" fontId="16" fillId="0" borderId="11" xfId="2" applyNumberFormat="1" applyFont="1" applyBorder="1" applyAlignment="1">
      <alignment horizontal="center" vertical="center"/>
    </xf>
    <xf numFmtId="2" fontId="16" fillId="0" borderId="23" xfId="2" applyNumberFormat="1" applyFont="1" applyBorder="1" applyAlignment="1">
      <alignment horizontal="center" vertical="center"/>
    </xf>
    <xf numFmtId="2" fontId="17" fillId="0" borderId="24" xfId="2" applyNumberFormat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vertical="center"/>
    </xf>
    <xf numFmtId="0" fontId="20" fillId="0" borderId="0" xfId="1" applyFont="1" applyAlignment="1" applyProtection="1">
      <alignment vertical="center"/>
    </xf>
    <xf numFmtId="0" fontId="9" fillId="9" borderId="12" xfId="2" applyFont="1" applyFill="1" applyBorder="1" applyAlignment="1">
      <alignment horizontal="center" vertical="center"/>
    </xf>
    <xf numFmtId="2" fontId="16" fillId="9" borderId="22" xfId="2" applyNumberFormat="1" applyFont="1" applyFill="1" applyBorder="1" applyAlignment="1">
      <alignment horizontal="center" vertical="center"/>
    </xf>
    <xf numFmtId="2" fontId="17" fillId="9" borderId="11" xfId="2" applyNumberFormat="1" applyFont="1" applyFill="1" applyBorder="1" applyAlignment="1">
      <alignment horizontal="center" vertical="center"/>
    </xf>
    <xf numFmtId="2" fontId="16" fillId="9" borderId="11" xfId="2" applyNumberFormat="1" applyFont="1" applyFill="1" applyBorder="1" applyAlignment="1">
      <alignment horizontal="center" vertical="center"/>
    </xf>
    <xf numFmtId="2" fontId="16" fillId="9" borderId="23" xfId="2" applyNumberFormat="1" applyFont="1" applyFill="1" applyBorder="1" applyAlignment="1">
      <alignment horizontal="center" vertical="center"/>
    </xf>
    <xf numFmtId="0" fontId="2" fillId="0" borderId="8" xfId="1" applyBorder="1" applyAlignment="1" applyProtection="1">
      <alignment vertical="center"/>
    </xf>
    <xf numFmtId="0" fontId="2" fillId="0" borderId="9" xfId="1" applyBorder="1" applyAlignment="1" applyProtection="1">
      <alignment vertical="center"/>
    </xf>
    <xf numFmtId="0" fontId="2" fillId="0" borderId="9" xfId="1" applyBorder="1" applyAlignment="1" applyProtection="1">
      <alignment horizontal="center" vertical="center"/>
    </xf>
    <xf numFmtId="0" fontId="2" fillId="0" borderId="10" xfId="1" applyBorder="1" applyAlignment="1" applyProtection="1">
      <alignment horizontal="center" vertical="center"/>
    </xf>
    <xf numFmtId="0" fontId="2" fillId="3" borderId="25" xfId="1" applyFill="1" applyBorder="1" applyAlignment="1" applyProtection="1">
      <alignment horizontal="center" textRotation="90" wrapText="1"/>
    </xf>
    <xf numFmtId="0" fontId="2" fillId="4" borderId="25" xfId="1" applyFill="1" applyBorder="1" applyAlignment="1" applyProtection="1">
      <alignment horizontal="center" textRotation="90"/>
    </xf>
    <xf numFmtId="0" fontId="9" fillId="10" borderId="12" xfId="2" applyFont="1" applyFill="1" applyBorder="1" applyAlignment="1">
      <alignment horizontal="center" vertical="center"/>
    </xf>
    <xf numFmtId="2" fontId="16" fillId="10" borderId="22" xfId="2" applyNumberFormat="1" applyFont="1" applyFill="1" applyBorder="1" applyAlignment="1">
      <alignment horizontal="center" vertical="center"/>
    </xf>
    <xf numFmtId="2" fontId="17" fillId="10" borderId="11" xfId="2" applyNumberFormat="1" applyFont="1" applyFill="1" applyBorder="1" applyAlignment="1">
      <alignment horizontal="center" vertical="center"/>
    </xf>
    <xf numFmtId="2" fontId="16" fillId="10" borderId="11" xfId="2" applyNumberFormat="1" applyFont="1" applyFill="1" applyBorder="1" applyAlignment="1">
      <alignment horizontal="center" vertical="center"/>
    </xf>
    <xf numFmtId="2" fontId="16" fillId="10" borderId="23" xfId="2" applyNumberFormat="1" applyFont="1" applyFill="1" applyBorder="1" applyAlignment="1">
      <alignment horizontal="center" vertical="center"/>
    </xf>
    <xf numFmtId="0" fontId="2" fillId="0" borderId="26" xfId="1" applyBorder="1" applyAlignment="1" applyProtection="1">
      <alignment horizontal="center" vertical="center"/>
    </xf>
    <xf numFmtId="0" fontId="2" fillId="0" borderId="11" xfId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164" fontId="2" fillId="0" borderId="12" xfId="1" applyNumberFormat="1" applyBorder="1" applyAlignment="1" applyProtection="1">
      <alignment vertical="center"/>
    </xf>
    <xf numFmtId="164" fontId="2" fillId="0" borderId="0" xfId="1" applyNumberFormat="1" applyAlignment="1" applyProtection="1">
      <alignment vertical="center"/>
    </xf>
    <xf numFmtId="0" fontId="2" fillId="3" borderId="27" xfId="1" applyFill="1" applyBorder="1" applyAlignment="1" applyProtection="1">
      <alignment horizontal="center" vertical="center"/>
      <protection locked="0"/>
    </xf>
    <xf numFmtId="0" fontId="2" fillId="4" borderId="0" xfId="1" applyFill="1" applyBorder="1" applyAlignment="1" applyProtection="1">
      <alignment vertical="center" textRotation="90"/>
      <protection hidden="1"/>
    </xf>
    <xf numFmtId="0" fontId="3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164" fontId="3" fillId="0" borderId="0" xfId="1" applyNumberFormat="1" applyFont="1" applyAlignment="1" applyProtection="1">
      <alignment vertical="center"/>
    </xf>
    <xf numFmtId="0" fontId="2" fillId="3" borderId="28" xfId="1" applyFill="1" applyBorder="1" applyAlignment="1" applyProtection="1">
      <alignment horizontal="center" vertical="center"/>
      <protection locked="0"/>
    </xf>
    <xf numFmtId="0" fontId="2" fillId="0" borderId="29" xfId="1" applyBorder="1" applyAlignment="1" applyProtection="1">
      <alignment horizontal="center" vertical="center"/>
    </xf>
    <xf numFmtId="0" fontId="2" fillId="0" borderId="13" xfId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center" vertical="center"/>
    </xf>
    <xf numFmtId="164" fontId="2" fillId="0" borderId="14" xfId="1" applyNumberFormat="1" applyBorder="1" applyAlignment="1" applyProtection="1">
      <alignment vertical="center"/>
    </xf>
    <xf numFmtId="0" fontId="2" fillId="3" borderId="30" xfId="1" applyFill="1" applyBorder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center" vertical="center"/>
    </xf>
    <xf numFmtId="0" fontId="2" fillId="4" borderId="0" xfId="1" applyFill="1" applyBorder="1" applyAlignment="1" applyProtection="1">
      <alignment vertical="center" textRotation="90"/>
    </xf>
    <xf numFmtId="0" fontId="2" fillId="0" borderId="0" xfId="1" applyBorder="1" applyAlignment="1" applyProtection="1">
      <alignment horizontal="center" vertical="center"/>
      <protection hidden="1"/>
    </xf>
    <xf numFmtId="0" fontId="2" fillId="4" borderId="27" xfId="1" applyFont="1" applyFill="1" applyBorder="1" applyAlignment="1" applyProtection="1">
      <alignment horizontal="center" vertical="center"/>
      <protection locked="0"/>
    </xf>
    <xf numFmtId="0" fontId="2" fillId="4" borderId="28" xfId="1" applyFill="1" applyBorder="1" applyAlignment="1" applyProtection="1">
      <alignment horizontal="center" vertical="center"/>
      <protection locked="0"/>
    </xf>
    <xf numFmtId="0" fontId="2" fillId="4" borderId="30" xfId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</xf>
    <xf numFmtId="0" fontId="15" fillId="8" borderId="14" xfId="2" applyFont="1" applyFill="1" applyBorder="1" applyAlignment="1">
      <alignment horizontal="center" vertical="center"/>
    </xf>
    <xf numFmtId="2" fontId="16" fillId="0" borderId="31" xfId="2" applyNumberFormat="1" applyFont="1" applyBorder="1" applyAlignment="1">
      <alignment horizontal="center" vertical="center"/>
    </xf>
    <xf numFmtId="2" fontId="17" fillId="0" borderId="32" xfId="2" applyNumberFormat="1" applyFont="1" applyBorder="1" applyAlignment="1">
      <alignment horizontal="center" vertical="center"/>
    </xf>
    <xf numFmtId="2" fontId="16" fillId="0" borderId="32" xfId="2" applyNumberFormat="1" applyFont="1" applyBorder="1" applyAlignment="1">
      <alignment horizontal="center" vertical="center"/>
    </xf>
    <xf numFmtId="2" fontId="16" fillId="0" borderId="33" xfId="2" applyNumberFormat="1" applyFont="1" applyBorder="1" applyAlignment="1">
      <alignment horizontal="center" vertical="center"/>
    </xf>
    <xf numFmtId="2" fontId="17" fillId="0" borderId="34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</cellXfs>
  <cellStyles count="14">
    <cellStyle name="Normal" xfId="0" builtinId="0"/>
    <cellStyle name="Normal 2" xfId="2"/>
    <cellStyle name="Normal 2 2" xfId="3"/>
    <cellStyle name="Normal 2 3" xfId="4"/>
    <cellStyle name="Normal 2 3 2" xfId="5"/>
    <cellStyle name="Normal 2 4" xfId="6"/>
    <cellStyle name="Normal 3" xfId="7"/>
    <cellStyle name="Normal 3 2" xfId="8"/>
    <cellStyle name="Normal 4" xfId="9"/>
    <cellStyle name="Normal 5" xfId="10"/>
    <cellStyle name="Normal 5 2" xfId="1"/>
    <cellStyle name="Normal 5 2 2" xfId="11"/>
    <cellStyle name="Normal 6" xfId="12"/>
    <cellStyle name="Pourcentage 2" xfId="1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368300</xdr:colOff>
      <xdr:row>5</xdr:row>
      <xdr:rowOff>495300</xdr:rowOff>
    </xdr:from>
    <xdr:to>
      <xdr:col>7</xdr:col>
      <xdr:colOff>12700</xdr:colOff>
      <xdr:row>10</xdr:row>
      <xdr:rowOff>12700</xdr:rowOff>
    </xdr:to>
    <xdr:sp macro="" textlink="">
      <xdr:nvSpPr>
        <xdr:cNvPr id="2" name="Object 1" hidden="1"/>
        <xdr:cNvSpPr>
          <a:spLocks noChangeArrowheads="1"/>
        </xdr:cNvSpPr>
      </xdr:nvSpPr>
      <xdr:spPr bwMode="auto">
        <a:xfrm>
          <a:off x="3708400" y="1574800"/>
          <a:ext cx="18542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topLeftCell="A21" zoomScale="150" zoomScaleNormal="150" zoomScaleSheetLayoutView="115" zoomScalePageLayoutView="150" workbookViewId="0">
      <selection activeCell="J21" sqref="J21"/>
    </sheetView>
  </sheetViews>
  <sheetFormatPr baseColWidth="10" defaultColWidth="8.83203125" defaultRowHeight="12" x14ac:dyDescent="0"/>
  <cols>
    <col min="1" max="1" width="13.33203125" style="1" customWidth="1"/>
    <col min="2" max="2" width="11.1640625" style="1" customWidth="1"/>
    <col min="3" max="3" width="9.6640625" style="2" customWidth="1"/>
    <col min="4" max="7" width="9.6640625" style="1" customWidth="1"/>
    <col min="8" max="8" width="2.33203125" style="1" customWidth="1"/>
    <col min="9" max="9" width="6.5" style="1" customWidth="1"/>
    <col min="10" max="10" width="6.1640625" style="3" customWidth="1"/>
    <col min="11" max="11" width="6.1640625" style="4" customWidth="1"/>
    <col min="12" max="12" width="6.1640625" style="5" customWidth="1"/>
    <col min="13" max="13" width="6.1640625" style="6" customWidth="1"/>
    <col min="14" max="14" width="13.83203125" style="1" bestFit="1" customWidth="1"/>
    <col min="15" max="15" width="8.83203125" style="1"/>
    <col min="16" max="16" width="8.83203125" style="1" hidden="1" customWidth="1"/>
    <col min="17" max="17" width="8.83203125" style="1"/>
    <col min="18" max="18" width="8.83203125" style="1" hidden="1" customWidth="1"/>
    <col min="19" max="19" width="8.83203125" style="1"/>
    <col min="20" max="20" width="8.83203125" style="1" hidden="1" customWidth="1"/>
    <col min="21" max="21" width="8.83203125" style="1" customWidth="1"/>
    <col min="22" max="22" width="8.83203125" style="1" hidden="1" customWidth="1"/>
    <col min="23" max="23" width="8.83203125" style="1" customWidth="1"/>
    <col min="24" max="24" width="8.83203125" style="1" hidden="1" customWidth="1"/>
    <col min="25" max="16384" width="8.83203125" style="1"/>
  </cols>
  <sheetData>
    <row r="1" spans="1:24" ht="13" thickBot="1"/>
    <row r="2" spans="1:24" ht="27" customHeight="1" thickTop="1" thickBot="1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24" ht="15.75" customHeight="1" thickTop="1">
      <c r="A3" s="10" t="str">
        <f>"Tension en daN: "&amp;ROUNDDOWN(((SUM(K14:K31)+D10-((D10/7.8)*$G$9))/SUM(I14:J31))*(((SUM(I14:J31)/2)^2+D8^2)/(2*D8)),2)&amp;" kg"</f>
        <v>Tension en daN: 1004,27 kg</v>
      </c>
      <c r="I3" s="11" t="s">
        <v>1</v>
      </c>
      <c r="J3" s="12" t="s">
        <v>2</v>
      </c>
      <c r="K3" s="13" t="s">
        <v>3</v>
      </c>
      <c r="L3" s="14" t="str">
        <f>"Poids embarqué: "&amp;SUM(L14:L31)&amp;" kg"</f>
        <v>Poids embarqué: 31,65 kg</v>
      </c>
      <c r="N3" s="15" t="s">
        <v>4</v>
      </c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15.75" customHeight="1">
      <c r="A4" s="1" t="s">
        <v>5</v>
      </c>
      <c r="I4" s="17"/>
      <c r="J4" s="18"/>
      <c r="K4" s="13"/>
      <c r="L4" s="14"/>
      <c r="N4" s="19"/>
      <c r="O4" s="20">
        <v>4</v>
      </c>
      <c r="P4" s="21"/>
      <c r="Q4" s="22">
        <v>7</v>
      </c>
      <c r="R4" s="21"/>
      <c r="S4" s="22">
        <v>9</v>
      </c>
      <c r="T4" s="21"/>
      <c r="U4" s="22">
        <v>11</v>
      </c>
      <c r="V4" s="21"/>
      <c r="W4" s="23">
        <v>12</v>
      </c>
      <c r="X4" s="16"/>
    </row>
    <row r="5" spans="1:24" ht="15.75" customHeight="1">
      <c r="A5" s="1" t="s">
        <v>6</v>
      </c>
      <c r="I5" s="17"/>
      <c r="J5" s="18"/>
      <c r="K5" s="13"/>
      <c r="L5" s="14"/>
      <c r="N5" s="24" t="s">
        <v>7</v>
      </c>
      <c r="O5" s="25">
        <v>15</v>
      </c>
      <c r="P5" s="26"/>
      <c r="Q5" s="25">
        <v>30</v>
      </c>
      <c r="R5" s="26"/>
      <c r="S5" s="25">
        <v>42</v>
      </c>
      <c r="T5" s="26"/>
      <c r="U5" s="25">
        <v>60</v>
      </c>
      <c r="V5" s="26"/>
      <c r="W5" s="27">
        <v>120</v>
      </c>
      <c r="X5" s="16"/>
    </row>
    <row r="6" spans="1:24" ht="39.75" customHeight="1" thickBot="1">
      <c r="A6" s="28" t="s">
        <v>8</v>
      </c>
      <c r="B6" s="28"/>
      <c r="C6" s="28"/>
      <c r="D6" s="28"/>
      <c r="E6" s="28"/>
      <c r="F6" s="28"/>
      <c r="G6" s="28"/>
      <c r="H6" s="29"/>
      <c r="I6" s="17"/>
      <c r="J6" s="18"/>
      <c r="K6" s="13"/>
      <c r="L6" s="14"/>
      <c r="M6" s="30"/>
      <c r="N6" s="31" t="s">
        <v>9</v>
      </c>
      <c r="O6" s="32">
        <f>O5*1.852</f>
        <v>27.78</v>
      </c>
      <c r="P6" s="32"/>
      <c r="Q6" s="32">
        <f>Q5*1.852</f>
        <v>55.56</v>
      </c>
      <c r="R6" s="32"/>
      <c r="S6" s="32">
        <f>S5*1.852</f>
        <v>77.784000000000006</v>
      </c>
      <c r="T6" s="32"/>
      <c r="U6" s="32">
        <f>U5*1.852</f>
        <v>111.12</v>
      </c>
      <c r="V6" s="32"/>
      <c r="W6" s="33">
        <f>W5*1.852</f>
        <v>222.24</v>
      </c>
      <c r="X6" s="16"/>
    </row>
    <row r="7" spans="1:24" ht="15.75" customHeight="1" thickTop="1" thickBot="1">
      <c r="A7" s="10" t="str">
        <f>"Longueur de la ligne: "&amp;SUM(I14:J31)&amp;" m"</f>
        <v>Longueur de la ligne: 101 m</v>
      </c>
      <c r="I7" s="17"/>
      <c r="J7" s="18"/>
      <c r="K7" s="13"/>
      <c r="L7" s="14"/>
      <c r="N7" s="34" t="s">
        <v>10</v>
      </c>
      <c r="O7" s="35" t="s">
        <v>11</v>
      </c>
      <c r="P7" s="36"/>
      <c r="Q7" s="36"/>
      <c r="R7" s="36"/>
      <c r="S7" s="36"/>
      <c r="T7" s="36"/>
      <c r="U7" s="36"/>
      <c r="V7" s="36"/>
      <c r="W7" s="37"/>
      <c r="X7" s="16"/>
    </row>
    <row r="8" spans="1:24" ht="15.75" customHeight="1" thickTop="1" thickBot="1">
      <c r="A8" s="38" t="s">
        <v>12</v>
      </c>
      <c r="D8" s="39">
        <v>0.5</v>
      </c>
      <c r="I8" s="17"/>
      <c r="J8" s="18"/>
      <c r="K8" s="13"/>
      <c r="L8" s="14"/>
      <c r="N8" s="40">
        <v>4.5</v>
      </c>
      <c r="O8" s="41">
        <v>25</v>
      </c>
      <c r="P8" s="42">
        <f>O8/$N$8</f>
        <v>5.5555555555555554</v>
      </c>
      <c r="Q8" s="43">
        <v>100</v>
      </c>
      <c r="R8" s="42">
        <f>Q8/$N$8</f>
        <v>22.222222222222221</v>
      </c>
      <c r="S8" s="43">
        <v>220</v>
      </c>
      <c r="T8" s="42">
        <f>S8/$N$8</f>
        <v>48.888888888888886</v>
      </c>
      <c r="U8" s="43">
        <v>450</v>
      </c>
      <c r="V8" s="42">
        <f>U8/$N$8</f>
        <v>100</v>
      </c>
      <c r="W8" s="44">
        <v>1800</v>
      </c>
      <c r="X8" s="45">
        <f>W8/$N$8</f>
        <v>400</v>
      </c>
    </row>
    <row r="9" spans="1:24" ht="15.75" customHeight="1" thickTop="1" thickBot="1">
      <c r="A9" s="10" t="str">
        <f>"Poids apparent en eau de mer: "&amp;ROUND(SUM(K14:K31)+D10-((D10/7.8)*G9),2)&amp;" kg"</f>
        <v>Poids apparent en eau de mer: 39,77 kg</v>
      </c>
      <c r="E9" s="46"/>
      <c r="F9" s="47" t="s">
        <v>13</v>
      </c>
      <c r="G9" s="48">
        <v>1.028</v>
      </c>
      <c r="I9" s="17"/>
      <c r="J9" s="18"/>
      <c r="K9" s="13"/>
      <c r="L9" s="14"/>
      <c r="N9" s="49">
        <f>N8+0.5</f>
        <v>5</v>
      </c>
      <c r="O9" s="50">
        <f>N9*P9</f>
        <v>30.555555555555554</v>
      </c>
      <c r="P9" s="51">
        <f>MEDIAN(P8,P11)</f>
        <v>6.1111111111111107</v>
      </c>
      <c r="Q9" s="52">
        <f>P9*R9</f>
        <v>149.38271604938271</v>
      </c>
      <c r="R9" s="51">
        <f>MEDIAN(R8,R11)</f>
        <v>24.444444444444443</v>
      </c>
      <c r="S9" s="52">
        <f>N9*T9</f>
        <v>255.55555555555557</v>
      </c>
      <c r="T9" s="51">
        <f>MEDIAN(T8,T11)</f>
        <v>51.111111111111114</v>
      </c>
      <c r="U9" s="52">
        <f>N9*V9</f>
        <v>520.83333333333326</v>
      </c>
      <c r="V9" s="51">
        <f>MEDIAN(V8,V11)</f>
        <v>104.16666666666666</v>
      </c>
      <c r="W9" s="53">
        <f>N9*X9</f>
        <v>2083.333333333333</v>
      </c>
      <c r="X9" s="54">
        <f>MEDIAN(X8,X11)</f>
        <v>416.66666666666663</v>
      </c>
    </row>
    <row r="10" spans="1:24" ht="15.75" customHeight="1" thickTop="1" thickBot="1">
      <c r="A10" s="10" t="s">
        <v>14</v>
      </c>
      <c r="D10" s="39">
        <v>18</v>
      </c>
      <c r="I10" s="17"/>
      <c r="J10" s="18"/>
      <c r="K10" s="13"/>
      <c r="L10" s="14"/>
      <c r="N10" s="49">
        <f t="shared" ref="N10:N41" si="0">N9+0.5</f>
        <v>5.5</v>
      </c>
      <c r="O10" s="50">
        <f>N10*P10</f>
        <v>35.138888888888893</v>
      </c>
      <c r="P10" s="51">
        <f>MEDIAN(P9,P11)</f>
        <v>6.3888888888888893</v>
      </c>
      <c r="Q10" s="52">
        <f>N10*R10</f>
        <v>140.55555555555557</v>
      </c>
      <c r="R10" s="51">
        <f>MEDIAN(R9,R11)</f>
        <v>25.555555555555557</v>
      </c>
      <c r="S10" s="52">
        <f>N10*T10</f>
        <v>287.22222222222229</v>
      </c>
      <c r="T10" s="51">
        <f>MEDIAN(T9,T11)</f>
        <v>52.222222222222229</v>
      </c>
      <c r="U10" s="52">
        <f>N10*V10</f>
        <v>584.375</v>
      </c>
      <c r="V10" s="51">
        <f>MEDIAN(V9,V11)</f>
        <v>106.25</v>
      </c>
      <c r="W10" s="53">
        <f>N10*X10</f>
        <v>2337.5</v>
      </c>
      <c r="X10" s="54">
        <f>MEDIAN(X9,X11)</f>
        <v>425</v>
      </c>
    </row>
    <row r="11" spans="1:24" ht="15.75" customHeight="1" thickTop="1">
      <c r="A11" s="10" t="str">
        <f>"Poids embarqué: "&amp;SUM(L14:L31)+D10&amp;" kg"</f>
        <v>Poids embarqué: 49,65 kg</v>
      </c>
      <c r="D11" s="55"/>
      <c r="I11" s="17"/>
      <c r="J11" s="18"/>
      <c r="K11" s="13"/>
      <c r="L11" s="14"/>
      <c r="N11" s="40">
        <f t="shared" si="0"/>
        <v>6</v>
      </c>
      <c r="O11" s="50">
        <v>40</v>
      </c>
      <c r="P11" s="51">
        <f>O11/$N$11</f>
        <v>6.666666666666667</v>
      </c>
      <c r="Q11" s="52">
        <v>160</v>
      </c>
      <c r="R11" s="51">
        <f>Q11/$N$11</f>
        <v>26.666666666666668</v>
      </c>
      <c r="S11" s="52">
        <v>320</v>
      </c>
      <c r="T11" s="51">
        <f>S11/$N$11</f>
        <v>53.333333333333336</v>
      </c>
      <c r="U11" s="52">
        <v>650</v>
      </c>
      <c r="V11" s="51">
        <f>U11/$N$11</f>
        <v>108.33333333333333</v>
      </c>
      <c r="W11" s="53">
        <v>2600</v>
      </c>
      <c r="X11" s="54">
        <f>W11/$N$11</f>
        <v>433.33333333333331</v>
      </c>
    </row>
    <row r="12" spans="1:24" s="10" customFormat="1" ht="15.75" customHeight="1">
      <c r="A12" s="56" t="s">
        <v>15</v>
      </c>
      <c r="B12" s="56"/>
      <c r="C12" s="56"/>
      <c r="D12" s="56"/>
      <c r="E12" s="56"/>
      <c r="F12" s="56"/>
      <c r="G12" s="56"/>
      <c r="H12" s="57"/>
      <c r="I12" s="17"/>
      <c r="J12" s="18"/>
      <c r="K12" s="13"/>
      <c r="L12" s="14"/>
      <c r="M12" s="58"/>
      <c r="N12" s="59">
        <f t="shared" si="0"/>
        <v>6.5</v>
      </c>
      <c r="O12" s="60">
        <f>N12*P12</f>
        <v>45.5</v>
      </c>
      <c r="P12" s="61">
        <f>MEDIAN(P11,P14)</f>
        <v>7</v>
      </c>
      <c r="Q12" s="62">
        <f>N12*R12</f>
        <v>182</v>
      </c>
      <c r="R12" s="61">
        <f>MEDIAN(R11,$R$14)</f>
        <v>28</v>
      </c>
      <c r="S12" s="62">
        <f>N12*T12</f>
        <v>364</v>
      </c>
      <c r="T12" s="61">
        <f>MEDIAN(T11,T14)</f>
        <v>56</v>
      </c>
      <c r="U12" s="62">
        <f>N12*V12</f>
        <v>733.41666666666663</v>
      </c>
      <c r="V12" s="61">
        <f>MEDIAN(V11,V14)</f>
        <v>112.83333333333333</v>
      </c>
      <c r="W12" s="63">
        <f>N12*X12</f>
        <v>2946.6666666666665</v>
      </c>
      <c r="X12" s="54">
        <f>MEDIAN(X11,X14)</f>
        <v>453.33333333333331</v>
      </c>
    </row>
    <row r="13" spans="1:24" ht="15.75" customHeight="1" thickBot="1">
      <c r="A13" s="64" t="s">
        <v>16</v>
      </c>
      <c r="B13" s="65" t="s">
        <v>17</v>
      </c>
      <c r="C13" s="66" t="s">
        <v>18</v>
      </c>
      <c r="D13" s="66" t="s">
        <v>19</v>
      </c>
      <c r="E13" s="66" t="s">
        <v>20</v>
      </c>
      <c r="F13" s="66" t="s">
        <v>21</v>
      </c>
      <c r="G13" s="67" t="s">
        <v>22</v>
      </c>
      <c r="H13" s="2"/>
      <c r="I13" s="68"/>
      <c r="J13" s="69"/>
      <c r="K13" s="13"/>
      <c r="L13" s="14"/>
      <c r="N13" s="70">
        <f t="shared" si="0"/>
        <v>7</v>
      </c>
      <c r="O13" s="71">
        <f>N13*P13</f>
        <v>50.166666666666664</v>
      </c>
      <c r="P13" s="72">
        <f>MEDIAN(P12,P14)</f>
        <v>7.1666666666666661</v>
      </c>
      <c r="Q13" s="73">
        <f>N13*R13</f>
        <v>200.66666666666666</v>
      </c>
      <c r="R13" s="72">
        <f>MEDIAN(R12,R14)</f>
        <v>28.666666666666664</v>
      </c>
      <c r="S13" s="73">
        <f>N13*T13</f>
        <v>401.33333333333331</v>
      </c>
      <c r="T13" s="72">
        <f>MEDIAN(T12,T14)</f>
        <v>57.333333333333329</v>
      </c>
      <c r="U13" s="73">
        <f>N13*V13</f>
        <v>805.58333333333326</v>
      </c>
      <c r="V13" s="72">
        <f>MEDIAN(V12,V14)</f>
        <v>115.08333333333333</v>
      </c>
      <c r="W13" s="74">
        <f>N13*X13</f>
        <v>3243.333333333333</v>
      </c>
      <c r="X13" s="54">
        <f>MEDIAN(X12,X14)</f>
        <v>463.33333333333331</v>
      </c>
    </row>
    <row r="14" spans="1:24" ht="15.75" customHeight="1" thickTop="1">
      <c r="A14" s="75">
        <v>6</v>
      </c>
      <c r="B14" s="76">
        <v>20</v>
      </c>
      <c r="C14" s="76">
        <f t="shared" ref="C14:C23" si="1">(((A14/2)*0.01)^2*PI()*10)/(B14*0.001)</f>
        <v>1.4137166941154067</v>
      </c>
      <c r="D14" s="76">
        <f>ROUNDDOWN((B14/C14)*(C14-$G$9)/1000,4)</f>
        <v>5.4000000000000003E-3</v>
      </c>
      <c r="E14" s="76">
        <v>750</v>
      </c>
      <c r="F14" s="77" t="s">
        <v>23</v>
      </c>
      <c r="G14" s="78">
        <v>0.4</v>
      </c>
      <c r="H14" s="79"/>
      <c r="I14" s="80"/>
      <c r="J14" s="81"/>
      <c r="K14" s="82" t="str">
        <f t="shared" ref="K14:K31" si="2">IF(OR(I14&gt;0,J14&gt;0),SUM(I14:J14)*D14,"")</f>
        <v/>
      </c>
      <c r="L14" s="83" t="str">
        <f t="shared" ref="L14:L31" si="3">IF(OR(I14&gt;0,J14&gt;0),SUM(I14:J14)*B14/1000,"")</f>
        <v/>
      </c>
      <c r="M14" s="84" t="str">
        <f t="shared" ref="M14:M23" si="4">IF(I14&gt;0,I14*G14,"")</f>
        <v/>
      </c>
      <c r="N14" s="40">
        <f t="shared" si="0"/>
        <v>7.5</v>
      </c>
      <c r="O14" s="50">
        <v>55</v>
      </c>
      <c r="P14" s="51">
        <f>O14/$N$14</f>
        <v>7.333333333333333</v>
      </c>
      <c r="Q14" s="52">
        <v>220</v>
      </c>
      <c r="R14" s="51">
        <f>Q14/$N$14</f>
        <v>29.333333333333332</v>
      </c>
      <c r="S14" s="52">
        <v>440</v>
      </c>
      <c r="T14" s="51">
        <f>S14/$N$14</f>
        <v>58.666666666666664</v>
      </c>
      <c r="U14" s="52">
        <v>880</v>
      </c>
      <c r="V14" s="51">
        <f>U14/$N$14</f>
        <v>117.33333333333333</v>
      </c>
      <c r="W14" s="53">
        <v>3550</v>
      </c>
      <c r="X14" s="54">
        <f>W14/$N$14</f>
        <v>473.33333333333331</v>
      </c>
    </row>
    <row r="15" spans="1:24" ht="15.75" customHeight="1">
      <c r="A15" s="75">
        <v>8</v>
      </c>
      <c r="B15" s="76">
        <v>39</v>
      </c>
      <c r="C15" s="76">
        <f t="shared" si="1"/>
        <v>1.2888585245496587</v>
      </c>
      <c r="D15" s="76">
        <f t="shared" ref="D15:D23" si="5">ROUNDDOWN((B15/C15)*(C15-$G$9)/1000,4)</f>
        <v>7.7999999999999996E-3</v>
      </c>
      <c r="E15" s="76">
        <v>1200</v>
      </c>
      <c r="F15" s="77" t="s">
        <v>24</v>
      </c>
      <c r="G15" s="78">
        <v>0.8</v>
      </c>
      <c r="H15" s="79"/>
      <c r="I15" s="85"/>
      <c r="J15" s="81"/>
      <c r="K15" s="82" t="str">
        <f t="shared" si="2"/>
        <v/>
      </c>
      <c r="L15" s="83" t="str">
        <f t="shared" si="3"/>
        <v/>
      </c>
      <c r="M15" s="84" t="str">
        <f t="shared" si="4"/>
        <v/>
      </c>
      <c r="N15" s="49">
        <f t="shared" si="0"/>
        <v>8</v>
      </c>
      <c r="O15" s="50">
        <f>N15*P15</f>
        <v>64.888888888888886</v>
      </c>
      <c r="P15" s="51">
        <f>MEDIAN(P14,P17)</f>
        <v>8.1111111111111107</v>
      </c>
      <c r="Q15" s="52">
        <f>N15*R15</f>
        <v>250.66666666666669</v>
      </c>
      <c r="R15" s="51">
        <f>MEDIAN(R14,R17)</f>
        <v>31.333333333333336</v>
      </c>
      <c r="S15" s="52">
        <f>N15*T15</f>
        <v>510.22222222222217</v>
      </c>
      <c r="T15" s="51">
        <f>MEDIAN(T14,T17)</f>
        <v>63.777777777777771</v>
      </c>
      <c r="U15" s="52">
        <f>N15*V15</f>
        <v>1029.3333333333333</v>
      </c>
      <c r="V15" s="51">
        <f>MEDIAN(V14,V17)</f>
        <v>128.66666666666666</v>
      </c>
      <c r="W15" s="53">
        <f>N15*X15</f>
        <v>4151.1111111111113</v>
      </c>
      <c r="X15" s="54">
        <f>MEDIAN(X14,X17)</f>
        <v>518.88888888888891</v>
      </c>
    </row>
    <row r="16" spans="1:24" ht="15.75" customHeight="1">
      <c r="A16" s="75">
        <v>10</v>
      </c>
      <c r="B16" s="76">
        <v>56</v>
      </c>
      <c r="C16" s="76">
        <f t="shared" si="1"/>
        <v>1.4024967203525862</v>
      </c>
      <c r="D16" s="76">
        <f t="shared" si="5"/>
        <v>1.49E-2</v>
      </c>
      <c r="E16" s="76">
        <v>2000</v>
      </c>
      <c r="F16" s="77" t="s">
        <v>25</v>
      </c>
      <c r="G16" s="78">
        <v>1.1000000000000001</v>
      </c>
      <c r="H16" s="79"/>
      <c r="I16" s="85"/>
      <c r="J16" s="81"/>
      <c r="K16" s="82" t="str">
        <f t="shared" si="2"/>
        <v/>
      </c>
      <c r="L16" s="83" t="str">
        <f t="shared" si="3"/>
        <v/>
      </c>
      <c r="M16" s="84" t="str">
        <f t="shared" si="4"/>
        <v/>
      </c>
      <c r="N16" s="49">
        <f t="shared" si="0"/>
        <v>8.5</v>
      </c>
      <c r="O16" s="50">
        <f>N16*P16</f>
        <v>72.25</v>
      </c>
      <c r="P16" s="51">
        <f>MEDIAN(P15,P17)</f>
        <v>8.5</v>
      </c>
      <c r="Q16" s="52">
        <f>N16*R16</f>
        <v>274.83333333333337</v>
      </c>
      <c r="R16" s="51">
        <f>MEDIAN(R15,R17)</f>
        <v>32.333333333333336</v>
      </c>
      <c r="S16" s="52">
        <f>N16*T16</f>
        <v>563.83333333333326</v>
      </c>
      <c r="T16" s="51">
        <f>MEDIAN(T15,T17)</f>
        <v>66.333333333333329</v>
      </c>
      <c r="U16" s="52">
        <f>N16*V16</f>
        <v>1141.8333333333333</v>
      </c>
      <c r="V16" s="51">
        <f>MEDIAN(V15,V17)</f>
        <v>134.33333333333331</v>
      </c>
      <c r="W16" s="53">
        <f>N16*X16</f>
        <v>4604.166666666667</v>
      </c>
      <c r="X16" s="54">
        <f>MEDIAN(X15,X17)</f>
        <v>541.66666666666674</v>
      </c>
    </row>
    <row r="17" spans="1:24" ht="15.75" customHeight="1">
      <c r="A17" s="75">
        <v>12</v>
      </c>
      <c r="B17" s="76">
        <v>80</v>
      </c>
      <c r="C17" s="76">
        <f t="shared" si="1"/>
        <v>1.4137166941154067</v>
      </c>
      <c r="D17" s="76">
        <f t="shared" si="5"/>
        <v>2.18E-2</v>
      </c>
      <c r="E17" s="76">
        <v>3000</v>
      </c>
      <c r="F17" s="77" t="s">
        <v>26</v>
      </c>
      <c r="G17" s="78">
        <v>1.5</v>
      </c>
      <c r="H17" s="79"/>
      <c r="I17" s="85">
        <v>70</v>
      </c>
      <c r="J17" s="81"/>
      <c r="K17" s="82">
        <f t="shared" si="2"/>
        <v>1.526</v>
      </c>
      <c r="L17" s="83">
        <f t="shared" si="3"/>
        <v>5.6</v>
      </c>
      <c r="M17" s="84">
        <f t="shared" si="4"/>
        <v>105</v>
      </c>
      <c r="N17" s="40">
        <f t="shared" si="0"/>
        <v>9</v>
      </c>
      <c r="O17" s="50">
        <v>80</v>
      </c>
      <c r="P17" s="51">
        <f>O17/$N$17</f>
        <v>8.8888888888888893</v>
      </c>
      <c r="Q17" s="52">
        <v>300</v>
      </c>
      <c r="R17" s="51">
        <f>Q17/$N$17</f>
        <v>33.333333333333336</v>
      </c>
      <c r="S17" s="52">
        <v>620</v>
      </c>
      <c r="T17" s="51">
        <f>S17/$N$17</f>
        <v>68.888888888888886</v>
      </c>
      <c r="U17" s="52">
        <v>1260</v>
      </c>
      <c r="V17" s="51">
        <f>U17/$N$17</f>
        <v>140</v>
      </c>
      <c r="W17" s="53">
        <v>5080</v>
      </c>
      <c r="X17" s="54">
        <f>W17/$N$17</f>
        <v>564.44444444444446</v>
      </c>
    </row>
    <row r="18" spans="1:24" ht="15.75" customHeight="1">
      <c r="A18" s="75">
        <v>14</v>
      </c>
      <c r="B18" s="76">
        <v>108</v>
      </c>
      <c r="C18" s="76">
        <f t="shared" si="1"/>
        <v>1.4253522224620361</v>
      </c>
      <c r="D18" s="76">
        <f t="shared" si="5"/>
        <v>3.0099999999999998E-2</v>
      </c>
      <c r="E18" s="76">
        <v>4000</v>
      </c>
      <c r="F18" s="77" t="s">
        <v>27</v>
      </c>
      <c r="G18" s="78">
        <v>2</v>
      </c>
      <c r="H18" s="79"/>
      <c r="I18" s="85"/>
      <c r="J18" s="81"/>
      <c r="K18" s="82" t="str">
        <f t="shared" si="2"/>
        <v/>
      </c>
      <c r="L18" s="83" t="str">
        <f t="shared" si="3"/>
        <v/>
      </c>
      <c r="M18" s="84" t="str">
        <f t="shared" si="4"/>
        <v/>
      </c>
      <c r="N18" s="49">
        <f t="shared" si="0"/>
        <v>9.5</v>
      </c>
      <c r="O18" s="50">
        <f>N18*P18</f>
        <v>87.460317460317455</v>
      </c>
      <c r="P18" s="51">
        <f>MEDIAN(P17,P20)</f>
        <v>9.2063492063492056</v>
      </c>
      <c r="Q18" s="52">
        <f>N18*R18</f>
        <v>339.28571428571428</v>
      </c>
      <c r="R18" s="51">
        <f>MEDIAN(R17,R20)</f>
        <v>35.714285714285715</v>
      </c>
      <c r="S18" s="52">
        <f>N18*T18</f>
        <v>689.1269841269841</v>
      </c>
      <c r="T18" s="51">
        <f>MEDIAN(T17,T20)</f>
        <v>72.539682539682531</v>
      </c>
      <c r="U18" s="52">
        <f>N18*V18</f>
        <v>1402.3809523809523</v>
      </c>
      <c r="V18" s="51">
        <f>MEDIAN(V17,V20)</f>
        <v>147.61904761904762</v>
      </c>
      <c r="W18" s="53">
        <f>N18*X18</f>
        <v>5639.6825396825407</v>
      </c>
      <c r="X18" s="54">
        <f>MEDIAN(X17,X20)</f>
        <v>593.65079365079373</v>
      </c>
    </row>
    <row r="19" spans="1:24" ht="15.75" customHeight="1">
      <c r="A19" s="75">
        <v>16</v>
      </c>
      <c r="B19" s="76">
        <v>137</v>
      </c>
      <c r="C19" s="76">
        <f t="shared" si="1"/>
        <v>1.4676053272244287</v>
      </c>
      <c r="D19" s="76">
        <f t="shared" si="5"/>
        <v>4.1000000000000002E-2</v>
      </c>
      <c r="E19" s="76">
        <v>4800</v>
      </c>
      <c r="F19" s="77" t="s">
        <v>28</v>
      </c>
      <c r="G19" s="78">
        <v>2.5</v>
      </c>
      <c r="H19" s="79"/>
      <c r="I19" s="85"/>
      <c r="J19" s="81"/>
      <c r="K19" s="82" t="str">
        <f t="shared" si="2"/>
        <v/>
      </c>
      <c r="L19" s="83" t="str">
        <f t="shared" si="3"/>
        <v/>
      </c>
      <c r="M19" s="84" t="str">
        <f t="shared" si="4"/>
        <v/>
      </c>
      <c r="N19" s="49">
        <f t="shared" si="0"/>
        <v>10</v>
      </c>
      <c r="O19" s="50">
        <f>N19*P19</f>
        <v>93.650793650793645</v>
      </c>
      <c r="P19" s="51">
        <f>MEDIAN(P18,P20)</f>
        <v>9.3650793650793638</v>
      </c>
      <c r="Q19" s="52">
        <f>N19*R19</f>
        <v>369.04761904761904</v>
      </c>
      <c r="R19" s="51">
        <f>MEDIAN(R18,R20)</f>
        <v>36.904761904761905</v>
      </c>
      <c r="S19" s="52">
        <f>N19*T19</f>
        <v>743.65079365079373</v>
      </c>
      <c r="T19" s="51">
        <f>MEDIAN(T18,T20)</f>
        <v>74.365079365079367</v>
      </c>
      <c r="U19" s="52">
        <f>N19*V19</f>
        <v>1514.2857142857144</v>
      </c>
      <c r="V19" s="51">
        <f>MEDIAN(V18,V20)</f>
        <v>151.42857142857144</v>
      </c>
      <c r="W19" s="53">
        <f>N19*X19</f>
        <v>6082.5396825396829</v>
      </c>
      <c r="X19" s="54">
        <f>MEDIAN(X18,X20)</f>
        <v>608.25396825396831</v>
      </c>
    </row>
    <row r="20" spans="1:24" ht="15.75" customHeight="1">
      <c r="A20" s="75">
        <v>18</v>
      </c>
      <c r="B20" s="76">
        <v>170</v>
      </c>
      <c r="C20" s="76">
        <f t="shared" si="1"/>
        <v>1.4968764996516071</v>
      </c>
      <c r="D20" s="76">
        <f t="shared" si="5"/>
        <v>5.3199999999999997E-2</v>
      </c>
      <c r="E20" s="76">
        <v>5400</v>
      </c>
      <c r="F20" s="77" t="s">
        <v>29</v>
      </c>
      <c r="G20" s="78">
        <v>3</v>
      </c>
      <c r="H20" s="79"/>
      <c r="I20" s="85"/>
      <c r="J20" s="81"/>
      <c r="K20" s="82" t="str">
        <f t="shared" si="2"/>
        <v/>
      </c>
      <c r="L20" s="83" t="str">
        <f t="shared" si="3"/>
        <v/>
      </c>
      <c r="M20" s="84" t="str">
        <f t="shared" si="4"/>
        <v/>
      </c>
      <c r="N20" s="40">
        <f t="shared" si="0"/>
        <v>10.5</v>
      </c>
      <c r="O20" s="50">
        <v>100</v>
      </c>
      <c r="P20" s="51">
        <f>O20/$N$20</f>
        <v>9.5238095238095237</v>
      </c>
      <c r="Q20" s="52">
        <v>400</v>
      </c>
      <c r="R20" s="51">
        <f>Q20/$N$20</f>
        <v>38.095238095238095</v>
      </c>
      <c r="S20" s="52">
        <v>800</v>
      </c>
      <c r="T20" s="51">
        <f>S20/$N$20</f>
        <v>76.19047619047619</v>
      </c>
      <c r="U20" s="52">
        <v>1630</v>
      </c>
      <c r="V20" s="51">
        <f>U20/$N$20</f>
        <v>155.23809523809524</v>
      </c>
      <c r="W20" s="53">
        <v>6540</v>
      </c>
      <c r="X20" s="54">
        <f>W20/$N$20</f>
        <v>622.85714285714289</v>
      </c>
    </row>
    <row r="21" spans="1:24" ht="15.75" customHeight="1">
      <c r="A21" s="75">
        <v>20</v>
      </c>
      <c r="B21" s="76">
        <v>207</v>
      </c>
      <c r="C21" s="76">
        <f t="shared" si="1"/>
        <v>1.5176776104298517</v>
      </c>
      <c r="D21" s="76">
        <f t="shared" si="5"/>
        <v>6.6699999999999995E-2</v>
      </c>
      <c r="E21" s="76">
        <v>8000</v>
      </c>
      <c r="F21" s="77" t="s">
        <v>30</v>
      </c>
      <c r="G21" s="78">
        <v>3.6</v>
      </c>
      <c r="H21" s="79"/>
      <c r="I21" s="85"/>
      <c r="J21" s="81"/>
      <c r="K21" s="82" t="str">
        <f t="shared" si="2"/>
        <v/>
      </c>
      <c r="L21" s="83" t="str">
        <f t="shared" si="3"/>
        <v/>
      </c>
      <c r="M21" s="84" t="str">
        <f t="shared" si="4"/>
        <v/>
      </c>
      <c r="N21" s="49">
        <f t="shared" si="0"/>
        <v>11</v>
      </c>
      <c r="O21" s="50">
        <f>N21*P21</f>
        <v>111.96428571428572</v>
      </c>
      <c r="P21" s="51">
        <f>MEDIAN(P20,P23)</f>
        <v>10.178571428571429</v>
      </c>
      <c r="Q21" s="52">
        <f>N21*R21</f>
        <v>457.02380952380958</v>
      </c>
      <c r="R21" s="51">
        <f>MEDIAN(R20,R23)</f>
        <v>41.547619047619051</v>
      </c>
      <c r="S21" s="52">
        <f>N21*T21</f>
        <v>877.38095238095229</v>
      </c>
      <c r="T21" s="51">
        <f>MEDIAN(T20,T23)</f>
        <v>79.761904761904759</v>
      </c>
      <c r="U21" s="52">
        <f>N21*V21</f>
        <v>1852.9761904761906</v>
      </c>
      <c r="V21" s="51">
        <f>MEDIAN(V20,V23)</f>
        <v>168.45238095238096</v>
      </c>
      <c r="W21" s="53">
        <f>N21*X21</f>
        <v>7422.3809523809532</v>
      </c>
      <c r="X21" s="54">
        <f>MEDIAN(X20,X23)</f>
        <v>674.76190476190482</v>
      </c>
    </row>
    <row r="22" spans="1:24" ht="15.75" customHeight="1">
      <c r="A22" s="75">
        <v>22</v>
      </c>
      <c r="B22" s="76">
        <v>250</v>
      </c>
      <c r="C22" s="76">
        <f t="shared" si="1"/>
        <v>1.5205308443374599</v>
      </c>
      <c r="D22" s="76">
        <f t="shared" si="5"/>
        <v>8.09E-2</v>
      </c>
      <c r="E22" s="76">
        <v>9500</v>
      </c>
      <c r="F22" s="77" t="s">
        <v>31</v>
      </c>
      <c r="G22" s="78">
        <v>4.3</v>
      </c>
      <c r="H22" s="79"/>
      <c r="I22" s="85"/>
      <c r="J22" s="81"/>
      <c r="K22" s="82" t="str">
        <f t="shared" si="2"/>
        <v/>
      </c>
      <c r="L22" s="83" t="str">
        <f t="shared" si="3"/>
        <v/>
      </c>
      <c r="M22" s="84" t="str">
        <f t="shared" si="4"/>
        <v/>
      </c>
      <c r="N22" s="49">
        <f t="shared" si="0"/>
        <v>11.5</v>
      </c>
      <c r="O22" s="50">
        <f>N22*P22</f>
        <v>120.81845238095238</v>
      </c>
      <c r="P22" s="51">
        <f>MEDIAN(P21,P23)</f>
        <v>10.505952380952381</v>
      </c>
      <c r="Q22" s="52">
        <f>N22*R22</f>
        <v>497.64880952380952</v>
      </c>
      <c r="R22" s="51">
        <f>MEDIAN(R21,R23)</f>
        <v>43.273809523809526</v>
      </c>
      <c r="S22" s="52">
        <f>N22*T22</f>
        <v>937.79761904761892</v>
      </c>
      <c r="T22" s="51">
        <f>MEDIAN(T21,T23)</f>
        <v>81.547619047619037</v>
      </c>
      <c r="U22" s="52">
        <f>N22*V22</f>
        <v>2013.1845238095236</v>
      </c>
      <c r="V22" s="51">
        <f>MEDIAN(V21,V23)</f>
        <v>175.0595238095238</v>
      </c>
      <c r="W22" s="53">
        <f>N22*X22</f>
        <v>8058.2142857142862</v>
      </c>
      <c r="X22" s="54">
        <f>MEDIAN(X21,X23)</f>
        <v>700.71428571428578</v>
      </c>
    </row>
    <row r="23" spans="1:24" ht="15.75" customHeight="1" thickBot="1">
      <c r="A23" s="86">
        <v>24</v>
      </c>
      <c r="B23" s="87">
        <v>305</v>
      </c>
      <c r="C23" s="87">
        <f t="shared" si="1"/>
        <v>1.4832437446456728</v>
      </c>
      <c r="D23" s="87">
        <f t="shared" si="5"/>
        <v>9.3600000000000003E-2</v>
      </c>
      <c r="E23" s="87">
        <v>11000</v>
      </c>
      <c r="F23" s="88" t="s">
        <v>32</v>
      </c>
      <c r="G23" s="89">
        <v>5.3</v>
      </c>
      <c r="H23" s="79"/>
      <c r="I23" s="90"/>
      <c r="J23" s="81"/>
      <c r="K23" s="82" t="str">
        <f t="shared" si="2"/>
        <v/>
      </c>
      <c r="L23" s="83" t="str">
        <f t="shared" si="3"/>
        <v/>
      </c>
      <c r="M23" s="84" t="str">
        <f t="shared" si="4"/>
        <v/>
      </c>
      <c r="N23" s="40">
        <f t="shared" si="0"/>
        <v>12</v>
      </c>
      <c r="O23" s="50">
        <v>130</v>
      </c>
      <c r="P23" s="51">
        <f>O23/$N$23</f>
        <v>10.833333333333334</v>
      </c>
      <c r="Q23" s="52">
        <v>540</v>
      </c>
      <c r="R23" s="51">
        <f>Q23/$N$23</f>
        <v>45</v>
      </c>
      <c r="S23" s="52">
        <v>1000</v>
      </c>
      <c r="T23" s="51">
        <f>S23/$N$23</f>
        <v>83.333333333333329</v>
      </c>
      <c r="U23" s="52">
        <v>2180</v>
      </c>
      <c r="V23" s="51">
        <f>U23/$N$23</f>
        <v>181.66666666666666</v>
      </c>
      <c r="W23" s="53">
        <v>8720</v>
      </c>
      <c r="X23" s="54">
        <f>W23/$N$23</f>
        <v>726.66666666666663</v>
      </c>
    </row>
    <row r="24" spans="1:24" ht="15.75" customHeight="1" thickTop="1">
      <c r="A24" s="2"/>
      <c r="I24" s="91"/>
      <c r="J24" s="92"/>
      <c r="K24" s="82" t="str">
        <f t="shared" si="2"/>
        <v/>
      </c>
      <c r="L24" s="83" t="str">
        <f t="shared" si="3"/>
        <v/>
      </c>
      <c r="M24" s="84"/>
      <c r="N24" s="49">
        <f t="shared" si="0"/>
        <v>12.5</v>
      </c>
      <c r="O24" s="50">
        <f>N24*P24</f>
        <v>142.70833333333334</v>
      </c>
      <c r="P24" s="51">
        <f>MEDIAN(P23,$P$29)</f>
        <v>11.416666666666668</v>
      </c>
      <c r="Q24" s="52">
        <f>N24*R24</f>
        <v>577.08333333333337</v>
      </c>
      <c r="R24" s="51">
        <f>MEDIAN(R23,$R$29)</f>
        <v>46.166666666666671</v>
      </c>
      <c r="S24" s="52">
        <f>N24*T24</f>
        <v>1125</v>
      </c>
      <c r="T24" s="51">
        <f>MEDIAN(T23,$T$29)</f>
        <v>90</v>
      </c>
      <c r="U24" s="52">
        <f>N24*V24</f>
        <v>2343.75</v>
      </c>
      <c r="V24" s="51">
        <f>MEDIAN(V23,$V$29)</f>
        <v>187.5</v>
      </c>
      <c r="W24" s="53">
        <f>N24*X24</f>
        <v>9383.3333333333321</v>
      </c>
      <c r="X24" s="54">
        <f>MEDIAN(X23,$X$29)</f>
        <v>750.66666666666663</v>
      </c>
    </row>
    <row r="25" spans="1:24" ht="15.75" customHeight="1">
      <c r="A25" s="56" t="s">
        <v>33</v>
      </c>
      <c r="B25" s="56"/>
      <c r="C25" s="56"/>
      <c r="D25" s="56"/>
      <c r="E25" s="56"/>
      <c r="F25" s="56"/>
      <c r="G25" s="56"/>
      <c r="I25" s="91"/>
      <c r="J25" s="92"/>
      <c r="K25" s="82" t="str">
        <f t="shared" si="2"/>
        <v/>
      </c>
      <c r="L25" s="83" t="str">
        <f t="shared" si="3"/>
        <v/>
      </c>
      <c r="M25" s="84"/>
      <c r="N25" s="49">
        <f t="shared" si="0"/>
        <v>13</v>
      </c>
      <c r="O25" s="50">
        <f>N25*P25</f>
        <v>152.20833333333334</v>
      </c>
      <c r="P25" s="51">
        <f>MEDIAN(P24,$P$29)</f>
        <v>11.708333333333334</v>
      </c>
      <c r="Q25" s="52">
        <f t="shared" ref="Q25:Q40" si="6">N25*R25</f>
        <v>607.75</v>
      </c>
      <c r="R25" s="51">
        <f>MEDIAN(R24,$R$29)</f>
        <v>46.75</v>
      </c>
      <c r="S25" s="52">
        <f>N25*T25</f>
        <v>1213.3333333333335</v>
      </c>
      <c r="T25" s="51">
        <f>MEDIAN(T24,$T$29)</f>
        <v>93.333333333333343</v>
      </c>
      <c r="U25" s="52">
        <f>N25*V25</f>
        <v>2475.416666666667</v>
      </c>
      <c r="V25" s="51">
        <f>MEDIAN(V24,$V$29)</f>
        <v>190.41666666666669</v>
      </c>
      <c r="W25" s="53">
        <f>N25*X25</f>
        <v>9914.6666666666661</v>
      </c>
      <c r="X25" s="54">
        <f>MEDIAN(X24,$X$29)</f>
        <v>762.66666666666663</v>
      </c>
    </row>
    <row r="26" spans="1:24" ht="15.75" customHeight="1" thickBot="1">
      <c r="A26" s="64" t="s">
        <v>16</v>
      </c>
      <c r="B26" s="65" t="s">
        <v>17</v>
      </c>
      <c r="C26" s="66" t="s">
        <v>18</v>
      </c>
      <c r="D26" s="66" t="s">
        <v>19</v>
      </c>
      <c r="E26" s="66" t="s">
        <v>20</v>
      </c>
      <c r="F26" s="66" t="s">
        <v>21</v>
      </c>
      <c r="G26" s="67" t="s">
        <v>22</v>
      </c>
      <c r="H26" s="2"/>
      <c r="I26" s="91"/>
      <c r="J26" s="92"/>
      <c r="K26" s="82" t="str">
        <f t="shared" si="2"/>
        <v/>
      </c>
      <c r="L26" s="83" t="str">
        <f t="shared" si="3"/>
        <v/>
      </c>
      <c r="M26" s="84"/>
      <c r="N26" s="49">
        <f t="shared" si="0"/>
        <v>13.5</v>
      </c>
      <c r="O26" s="50">
        <f>N26*P26</f>
        <v>160.03125000000003</v>
      </c>
      <c r="P26" s="51">
        <f>MEDIAN(P25,$P$29)</f>
        <v>11.854166666666668</v>
      </c>
      <c r="Q26" s="52">
        <f t="shared" si="6"/>
        <v>635.06250000000011</v>
      </c>
      <c r="R26" s="51">
        <f>MEDIAN(R25,$R$29)</f>
        <v>47.041666666666671</v>
      </c>
      <c r="S26" s="52">
        <f>N26*T26</f>
        <v>1282.5</v>
      </c>
      <c r="T26" s="51">
        <f>MEDIAN(T25,$T$29)</f>
        <v>95</v>
      </c>
      <c r="U26" s="52">
        <f>N26*V26</f>
        <v>2590.3125</v>
      </c>
      <c r="V26" s="51">
        <f>MEDIAN(V25,$V$29)</f>
        <v>191.875</v>
      </c>
      <c r="W26" s="53">
        <f>N26*X26</f>
        <v>10377</v>
      </c>
      <c r="X26" s="54">
        <f>MEDIAN(X25,$X$29)</f>
        <v>768.66666666666663</v>
      </c>
    </row>
    <row r="27" spans="1:24" ht="15.75" customHeight="1" thickTop="1">
      <c r="A27" s="75">
        <v>6</v>
      </c>
      <c r="B27" s="76">
        <v>820</v>
      </c>
      <c r="C27" s="76">
        <v>7.8</v>
      </c>
      <c r="D27" s="76">
        <f>ROUNDDOWN((B27/C27)*(C27-$G$9)/1000,4)</f>
        <v>0.71189999999999998</v>
      </c>
      <c r="E27" s="76">
        <v>1800</v>
      </c>
      <c r="F27" s="77" t="s">
        <v>34</v>
      </c>
      <c r="G27" s="78">
        <v>2.95</v>
      </c>
      <c r="H27" s="79"/>
      <c r="I27" s="93"/>
      <c r="J27" s="94">
        <v>30</v>
      </c>
      <c r="K27" s="82">
        <f t="shared" si="2"/>
        <v>21.356999999999999</v>
      </c>
      <c r="L27" s="83">
        <f t="shared" si="3"/>
        <v>24.6</v>
      </c>
      <c r="M27" s="84">
        <f>IF(J27&gt;0,J27*G27,"")</f>
        <v>88.5</v>
      </c>
      <c r="N27" s="49">
        <f t="shared" si="0"/>
        <v>14</v>
      </c>
      <c r="O27" s="50">
        <f>N27*P27</f>
        <v>166.97916666666669</v>
      </c>
      <c r="P27" s="51">
        <f>MEDIAN(P26,$P$29)</f>
        <v>11.927083333333334</v>
      </c>
      <c r="Q27" s="52">
        <f t="shared" si="6"/>
        <v>660.625</v>
      </c>
      <c r="R27" s="51">
        <f>MEDIAN(R26,$R$29)</f>
        <v>47.1875</v>
      </c>
      <c r="S27" s="52">
        <f>N27*T27</f>
        <v>1341.6666666666667</v>
      </c>
      <c r="T27" s="51">
        <f>MEDIAN(T26,$T$29)</f>
        <v>95.833333333333343</v>
      </c>
      <c r="U27" s="52">
        <f>N27*V27</f>
        <v>2696.4583333333335</v>
      </c>
      <c r="V27" s="51">
        <f>MEDIAN(V26,$V$29)</f>
        <v>192.60416666666669</v>
      </c>
      <c r="W27" s="53">
        <f>N27*X27</f>
        <v>10803.333333333332</v>
      </c>
      <c r="X27" s="54">
        <f>MEDIAN(X26,$X$29)</f>
        <v>771.66666666666663</v>
      </c>
    </row>
    <row r="28" spans="1:24" ht="15.75" customHeight="1">
      <c r="A28" s="75">
        <v>8</v>
      </c>
      <c r="B28" s="76">
        <v>1450</v>
      </c>
      <c r="C28" s="76">
        <v>7.8</v>
      </c>
      <c r="D28" s="76">
        <f>ROUNDDOWN((B28/C28)*(C28-$G$9)/1000,4)</f>
        <v>1.2587999999999999</v>
      </c>
      <c r="E28" s="76">
        <v>3200</v>
      </c>
      <c r="F28" s="77" t="s">
        <v>35</v>
      </c>
      <c r="G28" s="78">
        <v>5.0999999999999996</v>
      </c>
      <c r="H28" s="79"/>
      <c r="I28" s="93"/>
      <c r="J28" s="95">
        <v>1</v>
      </c>
      <c r="K28" s="82">
        <f t="shared" si="2"/>
        <v>1.2587999999999999</v>
      </c>
      <c r="L28" s="83">
        <f t="shared" si="3"/>
        <v>1.45</v>
      </c>
      <c r="M28" s="84">
        <f>IF(J28&gt;0,J28*G28,"")</f>
        <v>5.0999999999999996</v>
      </c>
      <c r="N28" s="49">
        <f t="shared" si="0"/>
        <v>14.5</v>
      </c>
      <c r="O28" s="50">
        <f>N28*P28</f>
        <v>173.47135416666669</v>
      </c>
      <c r="P28" s="51">
        <f>MEDIAN(P27,$P$29)</f>
        <v>11.963541666666668</v>
      </c>
      <c r="Q28" s="52">
        <f t="shared" si="6"/>
        <v>685.27604166666674</v>
      </c>
      <c r="R28" s="51">
        <f>MEDIAN(R27,$R$29)</f>
        <v>47.260416666666671</v>
      </c>
      <c r="S28" s="52">
        <f>N28*T28</f>
        <v>1395.625</v>
      </c>
      <c r="T28" s="51">
        <f>MEDIAN(T27,$T$29)</f>
        <v>96.25</v>
      </c>
      <c r="U28" s="52">
        <f>N28*V28</f>
        <v>2798.046875</v>
      </c>
      <c r="V28" s="51">
        <f>MEDIAN(V27,$V$29)</f>
        <v>192.96875</v>
      </c>
      <c r="W28" s="53">
        <f>N28*X28</f>
        <v>11210.916666666666</v>
      </c>
      <c r="X28" s="54">
        <f>MEDIAN(X27,$X$29)</f>
        <v>773.16666666666663</v>
      </c>
    </row>
    <row r="29" spans="1:24" ht="15.75" customHeight="1">
      <c r="A29" s="75">
        <v>10</v>
      </c>
      <c r="B29" s="76">
        <v>2250</v>
      </c>
      <c r="C29" s="76">
        <v>7.8</v>
      </c>
      <c r="D29" s="76">
        <f>ROUNDDOWN((B29/C29)*(C29-$G$9)/1000,4)</f>
        <v>1.9534</v>
      </c>
      <c r="E29" s="76">
        <v>5000</v>
      </c>
      <c r="F29" s="77" t="s">
        <v>36</v>
      </c>
      <c r="G29" s="78">
        <v>8</v>
      </c>
      <c r="H29" s="79"/>
      <c r="I29" s="93"/>
      <c r="J29" s="95"/>
      <c r="K29" s="82" t="str">
        <f t="shared" si="2"/>
        <v/>
      </c>
      <c r="L29" s="83" t="str">
        <f t="shared" si="3"/>
        <v/>
      </c>
      <c r="M29" s="84" t="str">
        <f>IF(J29&gt;0,J29*G29,"")</f>
        <v/>
      </c>
      <c r="N29" s="40">
        <f t="shared" si="0"/>
        <v>15</v>
      </c>
      <c r="O29" s="50">
        <v>180</v>
      </c>
      <c r="P29" s="51">
        <f>O29/$N$29</f>
        <v>12</v>
      </c>
      <c r="Q29" s="52">
        <v>710</v>
      </c>
      <c r="R29" s="51">
        <f>Q29/$N$29</f>
        <v>47.333333333333336</v>
      </c>
      <c r="S29" s="52">
        <v>1450</v>
      </c>
      <c r="T29" s="51">
        <f>S29/$N$29</f>
        <v>96.666666666666671</v>
      </c>
      <c r="U29" s="52">
        <v>2900</v>
      </c>
      <c r="V29" s="51">
        <f>U29/$N$29</f>
        <v>193.33333333333334</v>
      </c>
      <c r="W29" s="53">
        <v>11620</v>
      </c>
      <c r="X29" s="54">
        <f>W29/$N$29</f>
        <v>774.66666666666663</v>
      </c>
    </row>
    <row r="30" spans="1:24" ht="15.75" customHeight="1">
      <c r="A30" s="75">
        <v>12</v>
      </c>
      <c r="B30" s="76">
        <v>3240</v>
      </c>
      <c r="C30" s="76">
        <v>7.8</v>
      </c>
      <c r="D30" s="76">
        <f>ROUNDDOWN((B30/C30)*(C30-$G$9)/1000,4)</f>
        <v>2.8129</v>
      </c>
      <c r="E30" s="76">
        <v>7200</v>
      </c>
      <c r="F30" s="77" t="s">
        <v>37</v>
      </c>
      <c r="G30" s="78">
        <v>11.4</v>
      </c>
      <c r="H30" s="79"/>
      <c r="I30" s="93"/>
      <c r="J30" s="95"/>
      <c r="K30" s="82" t="str">
        <f t="shared" si="2"/>
        <v/>
      </c>
      <c r="L30" s="83" t="str">
        <f t="shared" si="3"/>
        <v/>
      </c>
      <c r="M30" s="84" t="str">
        <f>IF(J30&gt;0,J30*G30,"")</f>
        <v/>
      </c>
      <c r="N30" s="49">
        <f t="shared" si="0"/>
        <v>15.5</v>
      </c>
      <c r="O30" s="50">
        <f>N30*P30</f>
        <v>187.72222222222223</v>
      </c>
      <c r="P30" s="51">
        <f>MEDIAN(P29,$P$35)</f>
        <v>12.111111111111111</v>
      </c>
      <c r="Q30" s="52">
        <f t="shared" si="6"/>
        <v>754.33333333333337</v>
      </c>
      <c r="R30" s="51">
        <f>MEDIAN(R29,$R$35)</f>
        <v>48.666666666666671</v>
      </c>
      <c r="S30" s="52">
        <f>N30*T30</f>
        <v>1524.1666666666667</v>
      </c>
      <c r="T30" s="51">
        <f>MEDIAN(T29,$T$35)</f>
        <v>98.333333333333343</v>
      </c>
      <c r="U30" s="52">
        <f>N30*V30</f>
        <v>3056.9444444444443</v>
      </c>
      <c r="V30" s="51">
        <f>MEDIAN(V29,$V$35)</f>
        <v>197.22222222222223</v>
      </c>
      <c r="W30" s="53">
        <f>N30*X30</f>
        <v>12259.638888888887</v>
      </c>
      <c r="X30" s="54">
        <f>MEDIAN(X29,$X$35)</f>
        <v>790.94444444444434</v>
      </c>
    </row>
    <row r="31" spans="1:24" ht="15.75" customHeight="1" thickBot="1">
      <c r="A31" s="86">
        <v>14</v>
      </c>
      <c r="B31" s="87">
        <v>4390</v>
      </c>
      <c r="C31" s="87">
        <v>7.8</v>
      </c>
      <c r="D31" s="87">
        <f>ROUNDDOWN((B31/C31)*(C31-$G$9)/1000,4)</f>
        <v>3.8113999999999999</v>
      </c>
      <c r="E31" s="87">
        <v>9900</v>
      </c>
      <c r="F31" s="88" t="s">
        <v>38</v>
      </c>
      <c r="G31" s="89">
        <v>16.5</v>
      </c>
      <c r="H31" s="79"/>
      <c r="I31" s="93"/>
      <c r="J31" s="96"/>
      <c r="K31" s="82" t="str">
        <f t="shared" si="2"/>
        <v/>
      </c>
      <c r="L31" s="83" t="str">
        <f t="shared" si="3"/>
        <v/>
      </c>
      <c r="M31" s="84" t="str">
        <f>IF(J31&gt;0,J31*G31,"")</f>
        <v/>
      </c>
      <c r="N31" s="49">
        <f t="shared" si="0"/>
        <v>16</v>
      </c>
      <c r="O31" s="50">
        <f>N31*P31</f>
        <v>194.66666666666666</v>
      </c>
      <c r="P31" s="51">
        <f>MEDIAN(P30,$P$35)</f>
        <v>12.166666666666666</v>
      </c>
      <c r="Q31" s="52">
        <f t="shared" si="6"/>
        <v>789.33333333333337</v>
      </c>
      <c r="R31" s="51">
        <f>MEDIAN(R30,$R$35)</f>
        <v>49.333333333333336</v>
      </c>
      <c r="S31" s="52">
        <f>N31*T31</f>
        <v>1586.6666666666667</v>
      </c>
      <c r="T31" s="51">
        <f>MEDIAN(T30,$T$35)</f>
        <v>99.166666666666671</v>
      </c>
      <c r="U31" s="52">
        <f>N31*V31</f>
        <v>3186.666666666667</v>
      </c>
      <c r="V31" s="51">
        <f>MEDIAN(V30,$V$35)</f>
        <v>199.16666666666669</v>
      </c>
      <c r="W31" s="53">
        <f>N31*X31</f>
        <v>12785.333333333332</v>
      </c>
      <c r="X31" s="54">
        <f>MEDIAN(X30,$X$35)</f>
        <v>799.08333333333326</v>
      </c>
    </row>
    <row r="32" spans="1:24" ht="15.75" customHeight="1" thickTop="1">
      <c r="A32" s="2"/>
      <c r="B32" s="2"/>
      <c r="E32" s="2"/>
      <c r="F32" s="97"/>
      <c r="G32" s="79"/>
      <c r="I32" s="2"/>
      <c r="M32" s="84">
        <f>SUM(M14:M31)</f>
        <v>198.6</v>
      </c>
      <c r="N32" s="49">
        <f t="shared" si="0"/>
        <v>16.5</v>
      </c>
      <c r="O32" s="50">
        <f>N32*P32</f>
        <v>201.20833333333331</v>
      </c>
      <c r="P32" s="51">
        <f>MEDIAN(P31,$P$35)</f>
        <v>12.194444444444443</v>
      </c>
      <c r="Q32" s="52">
        <f t="shared" si="6"/>
        <v>819.50000000000011</v>
      </c>
      <c r="R32" s="51">
        <f>MEDIAN(R31,$R$35)</f>
        <v>49.666666666666671</v>
      </c>
      <c r="S32" s="52">
        <f>N32*T32</f>
        <v>1643.1250000000002</v>
      </c>
      <c r="T32" s="51">
        <f>MEDIAN(T31,$T$35)</f>
        <v>99.583333333333343</v>
      </c>
      <c r="U32" s="52">
        <f>N32*V32</f>
        <v>3302.291666666667</v>
      </c>
      <c r="V32" s="51">
        <f>MEDIAN(V31,$V$35)</f>
        <v>200.13888888888891</v>
      </c>
      <c r="W32" s="53">
        <f>N32*X32</f>
        <v>13252.020833333332</v>
      </c>
      <c r="X32" s="54">
        <f>MEDIAN(X31,$X$35)</f>
        <v>803.15277777777771</v>
      </c>
    </row>
    <row r="33" spans="1:24" ht="15.75" customHeight="1">
      <c r="A33" s="10"/>
      <c r="B33" s="10"/>
      <c r="C33" s="10"/>
      <c r="D33" s="10"/>
      <c r="E33" s="10"/>
      <c r="F33" s="10"/>
      <c r="G33" s="10"/>
      <c r="I33" s="2"/>
      <c r="N33" s="49">
        <f t="shared" si="0"/>
        <v>17</v>
      </c>
      <c r="O33" s="50">
        <f>N33*P33</f>
        <v>207.54166666666666</v>
      </c>
      <c r="P33" s="51">
        <f>MEDIAN(P32,$P$35)</f>
        <v>12.208333333333332</v>
      </c>
      <c r="Q33" s="52">
        <f t="shared" si="6"/>
        <v>847.16666666666674</v>
      </c>
      <c r="R33" s="51">
        <f>MEDIAN(R32,$R$35)</f>
        <v>49.833333333333336</v>
      </c>
      <c r="S33" s="52">
        <f>N33*T33</f>
        <v>1696.4583333333335</v>
      </c>
      <c r="T33" s="51">
        <f>MEDIAN(T32,$T$35)</f>
        <v>99.791666666666671</v>
      </c>
      <c r="U33" s="52">
        <f>N33*V33</f>
        <v>3410.625</v>
      </c>
      <c r="V33" s="51">
        <f>MEDIAN(V32,$V$35)</f>
        <v>200.625</v>
      </c>
      <c r="W33" s="53">
        <f>N33*X33</f>
        <v>13688.1875</v>
      </c>
      <c r="X33" s="54">
        <f>MEDIAN(X32,$X$35)</f>
        <v>805.1875</v>
      </c>
    </row>
    <row r="34" spans="1:24" ht="15.75" customHeight="1">
      <c r="A34" s="2"/>
      <c r="B34" s="2"/>
      <c r="E34" s="2"/>
      <c r="F34" s="97"/>
      <c r="G34" s="79"/>
      <c r="I34" s="2"/>
      <c r="N34" s="49">
        <f t="shared" si="0"/>
        <v>17.5</v>
      </c>
      <c r="O34" s="50">
        <f>N34*P34</f>
        <v>213.76736111111109</v>
      </c>
      <c r="P34" s="51">
        <f>MEDIAN(P33,$P$35)</f>
        <v>12.215277777777777</v>
      </c>
      <c r="Q34" s="52">
        <f t="shared" si="6"/>
        <v>873.54166666666674</v>
      </c>
      <c r="R34" s="51">
        <f>MEDIAN(R33,$R$35)</f>
        <v>49.916666666666671</v>
      </c>
      <c r="S34" s="52">
        <f>N34*T34</f>
        <v>1748.1770833333335</v>
      </c>
      <c r="T34" s="51">
        <f>MEDIAN(T33,$T$35)</f>
        <v>99.895833333333343</v>
      </c>
      <c r="U34" s="52">
        <f>N34*V34</f>
        <v>3515.1909722222222</v>
      </c>
      <c r="V34" s="51">
        <f>MEDIAN(V33,$V$35)</f>
        <v>200.86805555555554</v>
      </c>
      <c r="W34" s="53">
        <f>N34*X34</f>
        <v>14108.585069444443</v>
      </c>
      <c r="X34" s="54">
        <f>MEDIAN(X33,$X$35)</f>
        <v>806.20486111111109</v>
      </c>
    </row>
    <row r="35" spans="1:24" ht="15.75" customHeight="1">
      <c r="A35" s="2"/>
      <c r="B35" s="2"/>
      <c r="E35" s="2"/>
      <c r="F35" s="97"/>
      <c r="G35" s="79"/>
      <c r="I35" s="2"/>
      <c r="N35" s="40">
        <f t="shared" si="0"/>
        <v>18</v>
      </c>
      <c r="O35" s="50">
        <v>220</v>
      </c>
      <c r="P35" s="51">
        <f>O35/$N$35</f>
        <v>12.222222222222221</v>
      </c>
      <c r="Q35" s="52">
        <v>900</v>
      </c>
      <c r="R35" s="51">
        <f>Q35/$N$35</f>
        <v>50</v>
      </c>
      <c r="S35" s="52">
        <v>1800</v>
      </c>
      <c r="T35" s="51">
        <f>S35/$N$35</f>
        <v>100</v>
      </c>
      <c r="U35" s="52">
        <v>3620</v>
      </c>
      <c r="V35" s="51">
        <f>U35/$N$35</f>
        <v>201.11111111111111</v>
      </c>
      <c r="W35" s="53">
        <v>14530</v>
      </c>
      <c r="X35" s="54">
        <f>W35/$N$35</f>
        <v>807.22222222222217</v>
      </c>
    </row>
    <row r="36" spans="1:24" ht="15.75" customHeight="1">
      <c r="A36" s="2"/>
      <c r="B36" s="2"/>
      <c r="E36" s="2"/>
      <c r="F36" s="97"/>
      <c r="G36" s="79"/>
      <c r="I36" s="2"/>
      <c r="N36" s="49">
        <f t="shared" si="0"/>
        <v>18.5</v>
      </c>
      <c r="O36" s="50">
        <f>N36*P36</f>
        <v>245.19841269841268</v>
      </c>
      <c r="P36" s="51">
        <f>MEDIAN(P35,$P$41)</f>
        <v>13.253968253968253</v>
      </c>
      <c r="Q36" s="52">
        <f t="shared" si="6"/>
        <v>991.07142857142856</v>
      </c>
      <c r="R36" s="51">
        <f>MEDIAN(R35,$R$41)</f>
        <v>53.571428571428569</v>
      </c>
      <c r="S36" s="52">
        <f>N36*T36</f>
        <v>2004.1666666666667</v>
      </c>
      <c r="T36" s="51">
        <f>MEDIAN(T35,$T$41)</f>
        <v>108.33333333333334</v>
      </c>
      <c r="U36" s="52">
        <f>N36*V36</f>
        <v>3996.5873015873012</v>
      </c>
      <c r="V36" s="51">
        <f>MEDIAN(V35,$V$41)</f>
        <v>216.03174603174602</v>
      </c>
      <c r="W36" s="53">
        <f>N36*X36</f>
        <v>14933.611111111109</v>
      </c>
      <c r="X36" s="54">
        <f>MEDIAN(X35,$I$41)</f>
        <v>807.22222222222217</v>
      </c>
    </row>
    <row r="37" spans="1:24" ht="15.75" customHeight="1">
      <c r="A37" s="2"/>
      <c r="I37" s="2"/>
      <c r="N37" s="49">
        <f t="shared" si="0"/>
        <v>19</v>
      </c>
      <c r="O37" s="50">
        <f>N37*P37</f>
        <v>261.6269841269841</v>
      </c>
      <c r="P37" s="51">
        <f>MEDIAN(P36,$P$41)</f>
        <v>13.769841269841269</v>
      </c>
      <c r="Q37" s="52">
        <f t="shared" si="6"/>
        <v>1051.7857142857144</v>
      </c>
      <c r="R37" s="51">
        <f>MEDIAN(R36,$R$41)</f>
        <v>55.357142857142861</v>
      </c>
      <c r="S37" s="52">
        <f>N37*T37</f>
        <v>2137.5</v>
      </c>
      <c r="T37" s="51">
        <f>MEDIAN(T36,$T$41)</f>
        <v>112.5</v>
      </c>
      <c r="U37" s="52">
        <f>N37*V37</f>
        <v>4246.3492063492067</v>
      </c>
      <c r="V37" s="51">
        <f>MEDIAN(V36,$V$41)</f>
        <v>223.49206349206349</v>
      </c>
      <c r="W37" s="53">
        <f>N37*X37</f>
        <v>16544.325396825396</v>
      </c>
      <c r="X37" s="54">
        <f>MEDIAN(X36,$X$41)</f>
        <v>870.7539682539682</v>
      </c>
    </row>
    <row r="38" spans="1:24" ht="15.75" customHeight="1">
      <c r="I38" s="2"/>
      <c r="N38" s="49">
        <f t="shared" si="0"/>
        <v>19.5</v>
      </c>
      <c r="O38" s="50">
        <f>N38*P38</f>
        <v>273.54166666666669</v>
      </c>
      <c r="P38" s="51">
        <f>MEDIAN(P37,$P$41)</f>
        <v>14.027777777777779</v>
      </c>
      <c r="Q38" s="52">
        <f t="shared" si="6"/>
        <v>1096.875</v>
      </c>
      <c r="R38" s="51">
        <f>MEDIAN(R37,$R$41)</f>
        <v>56.25</v>
      </c>
      <c r="S38" s="52">
        <f>N38*T38</f>
        <v>2234.375</v>
      </c>
      <c r="T38" s="51">
        <f>MEDIAN(T37,$T$41)</f>
        <v>114.58333333333334</v>
      </c>
      <c r="U38" s="52">
        <f>N38*V38</f>
        <v>4430.833333333333</v>
      </c>
      <c r="V38" s="51">
        <f>MEDIAN(V37,$V$41)</f>
        <v>227.22222222222223</v>
      </c>
      <c r="W38" s="53">
        <f>N38*X38</f>
        <v>17599.136904761905</v>
      </c>
      <c r="X38" s="54">
        <f>MEDIAN(X37,$X$41)</f>
        <v>902.51984126984121</v>
      </c>
    </row>
    <row r="39" spans="1:24" ht="15.75" customHeight="1">
      <c r="N39" s="49">
        <f t="shared" si="0"/>
        <v>20</v>
      </c>
      <c r="O39" s="50">
        <f>N39*P39</f>
        <v>283.1349206349206</v>
      </c>
      <c r="P39" s="51">
        <f>MEDIAN(P38,$P$41)</f>
        <v>14.156746031746032</v>
      </c>
      <c r="Q39" s="52">
        <f t="shared" si="6"/>
        <v>1133.9285714285713</v>
      </c>
      <c r="R39" s="51">
        <f>MEDIAN(R38,$R$41)</f>
        <v>56.696428571428569</v>
      </c>
      <c r="S39" s="52">
        <f>N39*T39</f>
        <v>2312.5</v>
      </c>
      <c r="T39" s="51">
        <f>MEDIAN(T38,$T$41)</f>
        <v>115.625</v>
      </c>
      <c r="U39" s="52">
        <f>N39*V39</f>
        <v>4581.7460317460318</v>
      </c>
      <c r="V39" s="51">
        <f>MEDIAN(V38,$V$41)</f>
        <v>229.0873015873016</v>
      </c>
      <c r="W39" s="53">
        <f>N39*X39</f>
        <v>18368.055555555555</v>
      </c>
      <c r="X39" s="54">
        <f>MEDIAN(X38,$X$41)</f>
        <v>918.40277777777783</v>
      </c>
    </row>
    <row r="40" spans="1:24" ht="15.75" customHeight="1">
      <c r="N40" s="49">
        <f>N39+0.5</f>
        <v>20.5</v>
      </c>
      <c r="O40" s="50">
        <f>N40*P40</f>
        <v>291.53521825396825</v>
      </c>
      <c r="P40" s="51">
        <f>MEDIAN(P39,$P$41)</f>
        <v>14.221230158730158</v>
      </c>
      <c r="Q40" s="52">
        <f t="shared" si="6"/>
        <v>1166.8526785714287</v>
      </c>
      <c r="R40" s="51">
        <f>MEDIAN(R39,$R$41)</f>
        <v>56.919642857142861</v>
      </c>
      <c r="S40" s="52">
        <f>N40*T40</f>
        <v>2380.9895833333335</v>
      </c>
      <c r="T40" s="51">
        <f>MEDIAN(T39,$T$41)</f>
        <v>116.14583333333334</v>
      </c>
      <c r="U40" s="52">
        <f>N40*V40</f>
        <v>4715.4067460317456</v>
      </c>
      <c r="V40" s="51">
        <f>MEDIAN(V39,$V$41)</f>
        <v>230.01984126984127</v>
      </c>
      <c r="W40" s="53">
        <f>N40*X40</f>
        <v>18990.057043650795</v>
      </c>
      <c r="X40" s="54">
        <f>MEDIAN(X39,$X$41)</f>
        <v>926.34424603174602</v>
      </c>
    </row>
    <row r="41" spans="1:24" ht="15.75" customHeight="1" thickBot="1">
      <c r="N41" s="98">
        <f t="shared" si="0"/>
        <v>21</v>
      </c>
      <c r="O41" s="99">
        <v>300</v>
      </c>
      <c r="P41" s="100">
        <f>O41/$N$41</f>
        <v>14.285714285714286</v>
      </c>
      <c r="Q41" s="101">
        <v>1200</v>
      </c>
      <c r="R41" s="100">
        <f>Q41/$N$41</f>
        <v>57.142857142857146</v>
      </c>
      <c r="S41" s="101">
        <v>2450</v>
      </c>
      <c r="T41" s="100">
        <f>S41/$N$41</f>
        <v>116.66666666666667</v>
      </c>
      <c r="U41" s="101">
        <v>4850</v>
      </c>
      <c r="V41" s="100">
        <f>U41/$N$41</f>
        <v>230.95238095238096</v>
      </c>
      <c r="W41" s="102">
        <v>19620</v>
      </c>
      <c r="X41" s="103">
        <f>W41/$N$41</f>
        <v>934.28571428571433</v>
      </c>
    </row>
    <row r="42" spans="1:24" ht="14" thickTop="1">
      <c r="N42" s="104"/>
      <c r="O42" s="104"/>
      <c r="P42" s="105"/>
      <c r="Q42" s="104"/>
      <c r="R42" s="105"/>
      <c r="S42" s="104"/>
      <c r="T42" s="105"/>
      <c r="U42" s="104"/>
      <c r="V42" s="105"/>
      <c r="W42" s="106"/>
    </row>
  </sheetData>
  <sheetProtection password="F619" sheet="1" objects="1" scenarios="1"/>
  <mergeCells count="10">
    <mergeCell ref="A25:G25"/>
    <mergeCell ref="A2:L2"/>
    <mergeCell ref="I3:I13"/>
    <mergeCell ref="J3:J13"/>
    <mergeCell ref="K3:K13"/>
    <mergeCell ref="L3:L13"/>
    <mergeCell ref="N3:W3"/>
    <mergeCell ref="A6:G6"/>
    <mergeCell ref="O7:W7"/>
    <mergeCell ref="A12:G12"/>
  </mergeCells>
  <pageMargins left="0.7" right="0.7" top="0.75" bottom="0.75" header="0.3" footer="0.3"/>
  <pageSetup paperSize="9" scale="91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Tension de ligne</vt:lpstr>
    </vt:vector>
  </TitlesOfParts>
  <Company>YEAPA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VILCOT</dc:creator>
  <cp:lastModifiedBy>Jean Marc VILCOT</cp:lastModifiedBy>
  <dcterms:created xsi:type="dcterms:W3CDTF">2013-03-03T09:40:50Z</dcterms:created>
  <dcterms:modified xsi:type="dcterms:W3CDTF">2013-03-03T09:41:13Z</dcterms:modified>
</cp:coreProperties>
</file>